
<file path=[Content_Types].xml><?xml version="1.0" encoding="utf-8"?>
<Types xmlns="http://schemas.openxmlformats.org/package/2006/content-types">
  <Default ContentType="application/xml" Extension="xml"/>
  <Default ContentType="image/png" Extension="png"/>
  <Default ContentType="application/vnd.openxmlformats-package.relationships+xml" Extension="rels"/>
  <Override ContentType="application/vnd.openxmlformats-officedocument.spreadsheetml.table+xml" PartName="/xl/tables/table1.xml"/>
  <Override ContentType="application/vnd.openxmlformats-officedocument.spreadsheetml.table+xml" PartName="/xl/tables/table2.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Group Heuristic Evaluation" sheetId="1" r:id="rId4"/>
    <sheet state="visible" name="Summary of Evaluations" sheetId="2" r:id="rId5"/>
    <sheet state="visible" name="Evaluation Statistics" sheetId="3" r:id="rId6"/>
    <sheet state="visible" name="Summary Recommendations" sheetId="4" r:id="rId7"/>
  </sheets>
  <definedNames>
    <definedName hidden="1" localSheetId="0" name="_xlnm._FilterDatabase">'Group Heuristic Evaluation'!$A$10:$H$78</definedName>
    <definedName hidden="1" localSheetId="0" name="Z_5707EC78_447A_45EC_8958_ABF38D180014_.wvu.FilterData">'Group Heuristic Evaluation'!$A$10:$H$78</definedName>
    <definedName hidden="1" localSheetId="0" name="Z_E330A034_60EE_4DC7_8AA8_ADB6B896CEA8_.wvu.FilterData">'Group Heuristic Evaluation'!$A$10:$H$78</definedName>
  </definedNames>
  <calcPr/>
  <customWorkbookViews>
    <customWorkbookView activeSheetId="0" maximized="1" windowHeight="0" windowWidth="0" guid="{E330A034-60EE-4DC7-8AA8-ADB6B896CEA8}" name="Group by Task "/>
    <customWorkbookView activeSheetId="0" maximized="1" windowHeight="0" windowWidth="0" guid="{5707EC78-447A-45EC-8958-ABF38D180014}" name="Group by Task"/>
  </customWorkbookViews>
</workbook>
</file>

<file path=xl/sharedStrings.xml><?xml version="1.0" encoding="utf-8"?>
<sst xmlns="http://schemas.openxmlformats.org/spreadsheetml/2006/main" count="421" uniqueCount="258">
  <si>
    <t xml:space="preserve">Prototype Description: </t>
  </si>
  <si>
    <t>Plated is a mobile app that helps users cook food that aligns with their preferences and current resources, making the process easy for even amateur cooks as they can swipe through other user's available recipes and look to an AI assistant for help.</t>
  </si>
  <si>
    <t>Simple Task</t>
  </si>
  <si>
    <t>Passively swiping through feed to discover and save recipes</t>
  </si>
  <si>
    <t>Moderate Task</t>
  </si>
  <si>
    <t>Adding ingredients to Pantry tab</t>
  </si>
  <si>
    <t>Complex Task</t>
  </si>
  <si>
    <t>Posting a new recipe to others on Plated</t>
  </si>
  <si>
    <t>*attach images here if helpful</t>
  </si>
  <si>
    <t>Problem #</t>
  </si>
  <si>
    <t xml:space="preserve">Heuristic </t>
  </si>
  <si>
    <t>Task</t>
  </si>
  <si>
    <t>Severity</t>
  </si>
  <si>
    <t>Description</t>
  </si>
  <si>
    <t>Rationale</t>
  </si>
  <si>
    <t>Fix</t>
  </si>
  <si>
    <t>Found by</t>
  </si>
  <si>
    <t>H1: Visibility of System Status</t>
  </si>
  <si>
    <t>1. Simple Task</t>
  </si>
  <si>
    <t>Profile picture of recipe creator is unclear at first glance</t>
  </si>
  <si>
    <t>The placement and no text near the circular picture may make it difficult for users to assume that it represents the profile picture of the recipe creator.</t>
  </si>
  <si>
    <t>Add text next to the picture stating 'recipe created by' + username.</t>
  </si>
  <si>
    <t>D</t>
  </si>
  <si>
    <t>Image 1</t>
  </si>
  <si>
    <t>Image 2</t>
  </si>
  <si>
    <t>H10: Help &amp; Documentation</t>
  </si>
  <si>
    <t>Unknown purpose of the search button</t>
  </si>
  <si>
    <t>The search button is positioned at the top right but does not have any context about what it searches for or when it should be used.</t>
  </si>
  <si>
    <t>Include placeholder text within the search bar to guide users on what they can search for. Example: "Search for recipes, profiles, and more..." Not sure if it's good to put on the swipe page, but on an 'all recipes' explore page.</t>
  </si>
  <si>
    <t>D, C</t>
  </si>
  <si>
    <t>H11: Accessible Design</t>
  </si>
  <si>
    <t>Filter boxes are too small for visibility</t>
  </si>
  <si>
    <t>The filter selections and sliders are too small, making them hard to see and interact with for users with low vision or low touch sensitivity.</t>
  </si>
  <si>
    <t>Increase the size of the filter selections and sliders, potentially expanding them to fill more space on the page, and ensure all selections are clearly visible and easily tappable.</t>
  </si>
  <si>
    <t>No 'see more' button for Recreation reviews or About the Chef after clicking on the recipe</t>
  </si>
  <si>
    <t>When more content is available, users might expect to click on an element to view it, but this isn't clearly indicated.</t>
  </si>
  <si>
    <t xml:space="preserve">Add a "See more" label or visual cue like arrows to signal that additional content is available.
</t>
  </si>
  <si>
    <t>H12: Value Alignment &amp; Inclusion</t>
  </si>
  <si>
    <t>The recipe lacks basic information about the dish</t>
  </si>
  <si>
    <t>Current design assumes that the recipe speaks for itself, but most users may not recognize certain food names, like "Zuppa di Fagioli, which may exclude non-native users from fully understanding the recipe.</t>
  </si>
  <si>
    <t>Include a brief description at the top of each recipe, providing a clear explanation of the dish and its cultural context, to ensure all users, regardless of background, can understand what the recipe is about.</t>
  </si>
  <si>
    <t>H2: Match b/w System &amp; World</t>
  </si>
  <si>
    <t xml:space="preserve">Don't know how to use the two bars in the slider design
</t>
  </si>
  <si>
    <t>The two bold lines in the slider design are unclear, leaving users uncertain about their purpose and whether they represent a range, or how to change them. Does not match how sliders conventionally work.</t>
  </si>
  <si>
    <t>Either create a more intuitive slider (clear labels, can see where the range exact range is) or change it to another selection method such as drop down.</t>
  </si>
  <si>
    <t xml:space="preserve">Unknown purpose of the downward arrow graphic
</t>
  </si>
  <si>
    <t>There are arrows next to every single subtitle in the recipe details page. Although this seems like a button, it has no functionality.</t>
  </si>
  <si>
    <t>Remove the arrows unless they serve a functional purpose, such as collapsing or expanding sections.</t>
  </si>
  <si>
    <t>H3: User Control &amp; Freedom</t>
  </si>
  <si>
    <t>After clicking into a recipe from the main page, theres no way to approve or reject it (can only do it from the main swiping page without recipe details).</t>
  </si>
  <si>
    <t>User will probably want more context before saving or not saving a post, which they can get from this detailed page, but then they need to go back out and save there which reduces their degree of control and increases tap friction on the app.</t>
  </si>
  <si>
    <t>Tap into recipe can expand into a larger scrollable card instead of a separate page, and users can do the same swiping motion on this scrollable card.</t>
  </si>
  <si>
    <t>A</t>
  </si>
  <si>
    <t>H4: Consistency &amp; Standards</t>
  </si>
  <si>
    <t>From the readme, swiping right and hitting save on a post should both "save" the post, but they are separate actions from the home page. The same applies for the "X" button, whose functionality overlaps with swiping left. Additionally, There is no way to follow a user whose recipe you see, but on the profile the number of followers and following is shown.</t>
  </si>
  <si>
    <t>We can both swipe right and hit the bookmark button, which intuitively does the same thing. Although bookmark is not yet clickable, the presence of the two looks confusing. Additionally, Inconsistent implementation of follower/following social media scheme, could make users confused since there's no route or explanation in ReadMe of how to do so.</t>
  </si>
  <si>
    <t xml:space="preserve">Remove the bookmark icon and X icon and make a separate "Your liked" or "Saved posts" tab stemming from the nav bar. Add "Follow" button under poster's profile picture in recipe homepage. </t>
  </si>
  <si>
    <t>A, B</t>
  </si>
  <si>
    <t xml:space="preserve">Having two save buttons creates ambiguity.
</t>
  </si>
  <si>
    <t>The filled and empty save buttons suggest that the user is supposed to click on it, but they actually indicate the number of items saved and the swipe direction for saving. This creates confusion with the user.</t>
  </si>
  <si>
    <t>Change the design so the button doesn't seem clickable, show some indication that the bottom button is to show the direction (with an arrow), while say "147 Saved" instead</t>
  </si>
  <si>
    <t>H6: Recognition not Recall</t>
  </si>
  <si>
    <t>There is no clear indicator that you are able to swipe left or right, and is not intuitive from the prototype itself. There is a lack of visual confirmation that user has saved or rejected a recipe when swiping.</t>
  </si>
  <si>
    <t>User may never know to swipe when it is an integral feature to the app. The user may also misremember what is swiping right vs. swiping left and thus they do the opposite of what they expect to have. Inexperienced users or those not familiar with that interface style may be confused on how to operate the main feed of the app.</t>
  </si>
  <si>
    <t>Provide a hover instruction when app first loads: e.g. "swipe right to save, swipe left to skip" with arrows. When user swipes, show "saved" or "rejected" (or an icon version of that) for a visual confirmation.</t>
  </si>
  <si>
    <t>B, A, C, D</t>
  </si>
  <si>
    <t>Ingredients you have vs. not have are not listed</t>
  </si>
  <si>
    <t>It'll be rare for a user to have every single ingredient for most of the recipes, so it's good to still show recipes with only a few ingredients missing (and better to be indicated when swiping)</t>
  </si>
  <si>
    <t>Create an ingredients section (summary when swiping, full list when clicked on full details) where you can see what you have (green) and don't have (red X).</t>
  </si>
  <si>
    <t>H7: Flexibility &amp; Efficiency of Use</t>
  </si>
  <si>
    <t>The only way to view recipes is in a 1 by 1, Tinder carousel way, which may be time consuming for users who want to survey more recipes in a shorter period of time.</t>
  </si>
  <si>
    <t>Not sure how search integration will be implemented which might affect this, but if users are relying on this app to find a recipe quickly they might not want to swipe through a bunch of mismatches.</t>
  </si>
  <si>
    <t>Include a toggle to choose between this swipe view and a grid view of all recipes under the filter.</t>
  </si>
  <si>
    <t>A, C</t>
  </si>
  <si>
    <t>The difficulty level slider in the filters is not intuitive and definition of 'easy' vs. 'hard' recipes is not clear</t>
  </si>
  <si>
    <t>When the recipes themselves only indicate easy or hard, a slider for the difficulty level is not necessary and not intuitive.
Also, users don’t know the criteria for recipe difficulty, as everyone is at different skill levels and every user's definition of easy and hard would not be the same.</t>
  </si>
  <si>
    <t>Change the slider into buttons (or a fixed option slider) and make the selections as easy, medium, or hard. Provide brief descriptions of what easy and hard entail, possibly as a tooltip, or more intuitive labels for difficulty.</t>
  </si>
  <si>
    <t xml:space="preserve">Nowhere to add 'Nut Allergy' and 'Dinner' customizeable options in sections listed
</t>
  </si>
  <si>
    <t>While the filters offer these options, they are nowhere to be found in the rest of the filter categories, such as Ingredients and Cuisine.</t>
  </si>
  <si>
    <t>Add a general category where they're able to customize these general terminology filters, or potentially adding an entire sections for these, e.g. an allergy section.</t>
  </si>
  <si>
    <t>Unintuitive method of showcasing selected filters</t>
  </si>
  <si>
    <t>While Italian falls under cuisine, when clicked on the filters, it remains on the top with the other selected filters, which becomes baffling on how the user deselects it and which category the filter originated from.</t>
  </si>
  <si>
    <t>Instead of moving the selected filters to the top, make it remain within their category (or do both).</t>
  </si>
  <si>
    <t>H8: Aesthetic &amp; Minimalist Design</t>
  </si>
  <si>
    <t>When swiping left and right the top left "Plated" image shifts up and down. This doesn't affect anything other than visuals</t>
  </si>
  <si>
    <t>People may find discomfort in the text shifting up and down.</t>
  </si>
  <si>
    <t>Remove text dependency on other elements to prevent shifting.</t>
  </si>
  <si>
    <t>B</t>
  </si>
  <si>
    <t>Really like the "Recreations" tab, but users have to go through each blog post to get a general sense of a post's rating</t>
  </si>
  <si>
    <t>Having a more centralized rating system of the recipes could benefit the aesthetics and user flow of the app</t>
  </si>
  <si>
    <t>Have users rate their recreation on a 5-star scale and display it next to the recipe</t>
  </si>
  <si>
    <t>A, D</t>
  </si>
  <si>
    <t>Alignment of filter boxes and sliders are all different</t>
  </si>
  <si>
    <t>Filter option alignment is inconsistent and disrupts the overall visual structure and aesthetic.</t>
  </si>
  <si>
    <t>Make sure the filter boxes and sliders are all on the same vertical line.</t>
  </si>
  <si>
    <t>H9: Help Users with Errors</t>
  </si>
  <si>
    <t xml:space="preserve">We can increase accessibility for those that don't have certain ingredients. Easily finding substitutes for certain ingredients would be amazing </t>
  </si>
  <si>
    <t>Sometimes people may not have all the ingredients and are relying on Plated to give them recipes that work despite that.</t>
  </si>
  <si>
    <t>Add a button such that when you click on an ingredient you can see all the subsituties for that ingredient. Also buy knowing the user's pantry, we can incorporate the model to automatically suggest substitutes if user doesn't have it.</t>
  </si>
  <si>
    <t>B, D, C</t>
  </si>
  <si>
    <t>2. Moderate Task</t>
  </si>
  <si>
    <t xml:space="preserve">No clear instructions on the wording for adding items in the pantry
</t>
  </si>
  <si>
    <t>Users could be unsure of how to add items to the pantry with only an input text box with no clear instructions.</t>
  </si>
  <si>
    <t>Add a brief instructional text, placeholder text, or examples.</t>
  </si>
  <si>
    <t>A, B, D, C</t>
  </si>
  <si>
    <t>Pantry tab collections (Grains, Vegetables) don't add up to what is in the entire Pantry collection</t>
  </si>
  <si>
    <t>Not sure why there is a separate Pantry collection when the entire tab is also called Pantry. Also, does the grocery cart update into Pantry after the user has bought it?</t>
  </si>
  <si>
    <t>Specify names of collections and general flow to eliminate confusion, or include in a tutorial (as mentioned in a previous fix).
Or, perhaps put all pantry items on one screen or list, perhaps with images to make them easier to understand.</t>
  </si>
  <si>
    <t>A, B, C</t>
  </si>
  <si>
    <t>After adding an ingredient to the pantry, there is no way to remove it if it is depleted.</t>
  </si>
  <si>
    <t>If users erroneously add something or run out, there is not a way to reflect that on the actual Pantry tab.</t>
  </si>
  <si>
    <t>Add a remove button, or a progress bar on each ingredient tracking how much of it is left.</t>
  </si>
  <si>
    <t>A, B, D</t>
  </si>
  <si>
    <t>The "PaperClip" Icon in the Pantry sections do not link to anything except for in the "This Week" part of the Pantry. However, after clicking on the Paper Clip attachment icon, then pressing the back button, it leads to the Chef Su screen rather than reverse it back to the previous screen of "this week Pantry". Similarly, some areas seem clickable (shows up highlighted blue) like the "Garlic" in the "Vegetable" section (as seen in image 2), but doesn't go anywhere when clicked.</t>
  </si>
  <si>
    <t>Inconsistent navigation stack and clickable areas leads the user to confusion.</t>
  </si>
  <si>
    <t>Fix expected page navigation and double check all transitions. In addition, make it so all screens are consistent with what buttons you can click from other screens if the same button shows up multiple times across multiple screens. Make sure all clickable components do something, otherwise remove them.</t>
  </si>
  <si>
    <t>Settings icon on Post page doesn't make sense intuitively -- settings for what?</t>
  </si>
  <si>
    <t>Users may be confused on what exact settings this toggles, especially with the three lines icon in the Profile. The differentation between the two is unclear.</t>
  </si>
  <si>
    <t>Change icon to a photo editing icon if that's the intent, or remove it entirely.
Or remove the settings icon and place it under the profiles page, or make the settings icon available in the same spot on every page.</t>
  </si>
  <si>
    <t xml:space="preserve">Labeling of names between 'Pantry' and 'Grocery Cart' not clear
</t>
  </si>
  <si>
    <t>The general page is named 'Pantry,' and within the page lies a 'Grocery Cart,' which confuses the user due to unclear labeling.</t>
  </si>
  <si>
    <t>Make a clear distinction between the top section for the grocery cart (items you haven’t purchased yet) and the lower section for the pantry (items you’ve already bought).</t>
  </si>
  <si>
    <t>The styling between the grocery cart items before and after expanding the list is different.
On the regular pantry screen, there are checks next to "1 Apple" and "2 Oranges" but these checks are not present when you click to expand the cart.</t>
  </si>
  <si>
    <t>Users might be confused as to the state of their cart/items with this inconsistency.
Remove the expansion page and just have it scroll until the end of the list.</t>
  </si>
  <si>
    <t>Add checks next to the purchased items after clicking into the grocery cart.</t>
  </si>
  <si>
    <t>C</t>
  </si>
  <si>
    <t>H5: Error Prevention</t>
  </si>
  <si>
    <t>Does not notify user when an item is previously added to the list</t>
  </si>
  <si>
    <t>Users are unaware if they have already added an item to the list, leading to potential errors and redundancy.</t>
  </si>
  <si>
    <t>Implement a warning message or a visual indicator when attempting to add an already added  item to the pantry.</t>
  </si>
  <si>
    <t>Pantry additions don't show up on main recipe scrolling page, so no way to easily corroborate if you have enough ingredients for a specific recipe</t>
  </si>
  <si>
    <t>Users have to frequently refer back to the Pantry page to check if they have the ingredients needed</t>
  </si>
  <si>
    <t>Highlight ingredients within the recipes that the user has in green, and the rest in red, so the two pages are synced and there's no need for back and forth recall</t>
  </si>
  <si>
    <t>Cannot search whether or not user has already added an item</t>
  </si>
  <si>
    <t>The lack of search functionality forces them to manually browse, which can lead to frustration and inefficiency.</t>
  </si>
  <si>
    <t>A search bar or filter that allows users to quickly check if an item is already in the pantry.
Put all pantry items on one screen or list, perhaps with images to make them easier to understand.</t>
  </si>
  <si>
    <t xml:space="preserve">Variation in pantry wording makes recipe matching difficult
</t>
  </si>
  <si>
    <t>Current input structure allows for variation in how ingredients are listed (e.g., "30 eggs" versus "carrots"), so the system can't effectively match ingredients to recipes due to inconsistency in input formats.
Also, if a recipe calls for 3 eggs but I only have 1 egg in my pantry, will the recipe still be recommended to me?</t>
  </si>
  <si>
    <t>Separate the weight/count of ingredients from the food itself by providing distinct fields for quantity and ingredient name—else, leave unspecified.</t>
  </si>
  <si>
    <t>If users frequently add items or add multiple of the same item to Pantry, it may get hard to keep track of quantities and repetitive for additions. Design also does not allow items to be added to pantry after checking grocery cart</t>
  </si>
  <si>
    <t>Users may find it annoying to have to manually update each ingredient in the Pantry and be less inclined to use it.</t>
  </si>
  <si>
    <t>Add a shortcuts or favorite ingredients tab where users can click items they frequently purchase. Also, add quantities to each ingredient. When using the Grocery Cart, Prompt the user to select a category when an item is checked off, and then automatically add it to the pantry in the chosen category.</t>
  </si>
  <si>
    <t>No way to organize groceries or pin important ones within categories</t>
  </si>
  <si>
    <t>Sorting or pinning important items is absent, which leads to difficulty in managing their lis when it gets lengthy within a category.</t>
  </si>
  <si>
    <t>For more flexibility, there should be a feature that allows users to organize items within categories such as pinning, alphabet, etc.</t>
  </si>
  <si>
    <t>To add individual items to the pantry, you have to click into the categories which is difficult to do.</t>
  </si>
  <si>
    <t>If the user is adding a bunch of items en masse, it's hard for them because they have to go into the individual categories to put them in</t>
  </si>
  <si>
    <t>Add a general text box to insert items in the grocery cart that automatically sorts the items into appropriate categories</t>
  </si>
  <si>
    <t>Confusing compressed and expanded version for the grocery cart</t>
  </si>
  <si>
    <t xml:space="preserve">The expanded version of the grocery cart doesn't provide any additional functionality. Users expect more options when interacting with the expanded view, but the compressed version already includes the item-adding feature, yet lacks scrollable functionality. </t>
  </si>
  <si>
    <t>Both versions should offer distinct features to avoid confusion. Compressed is scrollable, but can only check. To add, go into the expanded version. It's also somewhat unnecessary, could just scrap the whole thing too.</t>
  </si>
  <si>
    <t>3. Complex Task</t>
  </si>
  <si>
    <t>After posting a recipe, there is no confirmation on you successfully posting a recipe</t>
  </si>
  <si>
    <t>User can be left confused and uninformed as to if their recipe was uploaded successfully until they look through their list of recipes and find that it was uploaded. Takes up a lot of time.</t>
  </si>
  <si>
    <t>Include a confirmation screen after you post! And maybe in that confirmation screen even a way to share the recipe with friends!</t>
  </si>
  <si>
    <t>B, D</t>
  </si>
  <si>
    <t>No notifications and action progress on what happens after posting</t>
  </si>
  <si>
    <t>Left uncertain about the status of their posted recipe due to a lack of notifications or progress indicators, confusion over whether it's getting any interactions.</t>
  </si>
  <si>
    <t xml:space="preserve">Implement a notification system that informs users when their post is successfully posted, and has any interactions
</t>
  </si>
  <si>
    <t xml:space="preserve">The design should encode values that users can understand and relate to, fostering inclusion and respect for diverse groups. Features like posting culturally specific recipes or unrestricted image sharing may unintentionally limit visibility or lead to negative social effects, potentially reproducing inequities. The design should prevent these issues, avoiding added burdens for disadvantaged users.
</t>
  </si>
  <si>
    <t xml:space="preserve">The design should foster inclusivity by ensuring diverse content is accessible and users feel safe. Separating by specific cuisines may overly fragment the feed, making it harder for lesser-known recipes to gain visibility.
Additionally, a lack of moderation or detection could allow inappropriate content, potentially creating an unsafe environment for some users. The design should address these issues to prevent exclusion and ensure a respectful experience for all.
</t>
  </si>
  <si>
    <t>To promote inclusivity and safety, the design could include a discovery feature that periodically introduces users to new cuisines beyond their usual preferences, enhancing visibility for lesser-known recipes.
Additionally, a detection system could ensure that only relevant food images are posted, creating a safer and more focused environment for all users.</t>
  </si>
  <si>
    <t xml:space="preserve">
After posting a recipe, the app lands on the Profile page.</t>
  </si>
  <si>
    <t xml:space="preserve">
This is unintuitive as we want to see the post actually on the all recipes page, disrupting logical flow of the app.
</t>
  </si>
  <si>
    <t xml:space="preserve">
After hitting "Post" on the Plating... page, direct to the All Posts page with the newest post on top.</t>
  </si>
  <si>
    <t>B, A, D, C</t>
  </si>
  <si>
    <t>Clicking the profile image on the profile page will lead the user to create a new recipe</t>
  </si>
  <si>
    <t>This is not very intuitive and a bit confusing as to why clicking on the profile will allow the user to make a post instead of editing their profile.</t>
  </si>
  <si>
    <t>Remove this link to posting the recipe and instead have it link to editing the user's profile</t>
  </si>
  <si>
    <t>Clicking between "POST" and then clicking on the recipe again on the profiles page causes the user to go back to the "Plating..." page where you can post it once again</t>
  </si>
  <si>
    <t>The user may be confused by this return to a post they had just created and instead just want to view the post to see more recipes/details on it</t>
  </si>
  <si>
    <t>Route individual posts on a profile to a post with more information about the recipe.</t>
  </si>
  <si>
    <t>Clicking on the followers and following sections doesn't bring the user to lists of who is following them/who they're following</t>
  </si>
  <si>
    <t>Users may want to directly click on these sections to see their followers/following list out of convenience</t>
  </si>
  <si>
    <t>Have these sections link to lists of other users</t>
  </si>
  <si>
    <t>No undo or edit option after posting</t>
  </si>
  <si>
    <t>There's a potential for a user to be posting a recipe with errors but the app lacks the ability to undo or edit after posting.</t>
  </si>
  <si>
    <t>Add an edit option that allows users to modify their post after it’s been published.</t>
  </si>
  <si>
    <t>Unclear how to type in the steps when posting the recipe</t>
  </si>
  <si>
    <t>The user may be confused about how to insert steps and properly customize their recipe post</t>
  </si>
  <si>
    <t>Include a button or blank text input area for the users to input the steps</t>
  </si>
  <si>
    <t>Cannot add filters when posting recipe</t>
  </si>
  <si>
    <t>Despite having filters available when swiping through recipes, when uploading a recipe there doesn't seem to be an option to add filters (except for cuisine)</t>
  </si>
  <si>
    <t>A filters section within the recipe-posting interface. This should allow users to tag their recipes with additional filters, such as dietary preferences or meal types.</t>
  </si>
  <si>
    <t>Process for uploading a recreation is unclear</t>
  </si>
  <si>
    <t>Users are unsure whether they should use the same method as posting a new recipe for a recreation.</t>
  </si>
  <si>
    <t>Clearly differentiate the "Add Post" feature by explicitly labeling it for posting new recipes or recreations OR add an option to specify whether the post is a new recipe or a recreation.</t>
  </si>
  <si>
    <t>Perhaps a double check feature when taking a photo of the food to ensure the screenshot is the one that user wants.
In addition, the user can navigate to posting page by clicking profile picture on Profile, which is confusing</t>
  </si>
  <si>
    <t>Users may want to get the "best shot" for their food and thus they may need an easier way to re-do a photo
In addition, we are unsure why the pages are linked. Users may erroneously click into post if they are trying to update their profile.</t>
  </si>
  <si>
    <t>After taking a photo, allow the user to confirm that's the photo they want to take
To solve the other issue, you can remove the link between those two pages, or move the clickable area on profile to a clearer post button.</t>
  </si>
  <si>
    <t>B, A, C</t>
  </si>
  <si>
    <t>Lack of warning on acceptable content before posting</t>
  </si>
  <si>
    <t>Without guidelines, a user may post content that contains inappropriate material, as there is no clear warning about acceptable content.</t>
  </si>
  <si>
    <t>Add a warning or guideline reminder before users submit their posts, outlining what is considered acceptable content (see Fizz as an example).</t>
  </si>
  <si>
    <t>No apparent feature to edit old posts</t>
  </si>
  <si>
    <t>If a user makes typos or wants to revise a post, there is no functionality to do so</t>
  </si>
  <si>
    <t>Create a settings button or include the 3 dots to expand and edit the post</t>
  </si>
  <si>
    <t>Lack of flexibility in the post</t>
  </si>
  <si>
    <t>Restricts users from adding any content beyond the regulated ingredients and recipe, limiting creativity, personal expression, and flexibility.</t>
  </si>
  <si>
    <t>Allow users to add a description or notes to their recipe posts.</t>
  </si>
  <si>
    <t>Method of inputting fliters (difficulty, people, time, cuisine) missing</t>
  </si>
  <si>
    <t xml:space="preserve">The app lacks a clear way for users to input or adjust filters for difficulty, number of people, time, and cuisine, making it harder to customize recipe searches.
</t>
  </si>
  <si>
    <t xml:space="preserve">Add an intuitive filter input method, such as a dropdown menu or checkboxes, to allow users to select and adjust these categories when searching or posting recipes.
</t>
  </si>
  <si>
    <t xml:space="preserve">
When taking a photo via an app, it is very common in other apps to go to another screen that has the camera functionality. Look at Image 1 for inspiration. This is from GroupMe photo function. This camera functionality would also clean up the UI aesthetic by removing the need for the flash + reverse camera buttons on the adding recipes screen.
</t>
  </si>
  <si>
    <t xml:space="preserve">This allows the user to have flexibility in the camera options while also keeping a minmalistic design. This would make the UI look cleaner and also match closer to what the user expects from other apps. </t>
  </si>
  <si>
    <t>Move the camera option into a settings that you can toggle. Either the person only uses the front camera. Or they can only use the back camera until they swap in the settings. We can also enable double tap on screen to swap camera like how SnapChat does it; however, I don't think this is necessary as the front camera is not a mainly used to take photos of food. I'd also remove the flash button and have it naturally be enabled by the user's camera when they take a photo.
Include a new camera mode in your app! Remove the other features in the current UI to clean it up, such as the flash button and reverse camera button. This "new camera mode" can be seen in image 1 for inspiration from GroupMe. Also, you can incorporate the editing features from the camera app.</t>
  </si>
  <si>
    <t>Typo in the user's profile for "followers"; says follwers.</t>
  </si>
  <si>
    <t>Typo can contribute to confusion and appear unprofessional</t>
  </si>
  <si>
    <t>Change to "followers"</t>
  </si>
  <si>
    <t>No error diagnosis when photo or description is invalid and recipe is posted</t>
  </si>
  <si>
    <t>No error message is displayed when a photo or description is invalid (such as empty post) causing confusion when a post is submitted.</t>
  </si>
  <si>
    <t>Show clear error messages (e.g., "Photo too large" or "Post is empty") to help users correct the issue before posting.</t>
  </si>
  <si>
    <t>4. All Tasks</t>
  </si>
  <si>
    <t>There is no menu explaining what each button throughout app (on nav bar, in main page, etc) does.</t>
  </si>
  <si>
    <t>people are confused when they first click on the app, especially given the high feature count and limited intuition in design.</t>
  </si>
  <si>
    <t>There could be a tutorial when you first load the app to showcase what each button does and what the swiping features do!</t>
  </si>
  <si>
    <t>Button styles are inconsistent (e.g. the picture capture and the post button have dropshadows but other buttons do not)</t>
  </si>
  <si>
    <t>These buttons don't stylistically match with others and may be aesthetically jarring</t>
  </si>
  <si>
    <t>Make the buttons consistent (either with or without dropshadow)</t>
  </si>
  <si>
    <t>Navigation bar icons are fairly complex and take a while to grasp.</t>
  </si>
  <si>
    <t>Icon designs and weights are all different and designs are hard to follow.</t>
  </si>
  <si>
    <t>App could be easier to navigate if icons were more centralized and had more intuitive depictions.</t>
  </si>
  <si>
    <t>A, B, C, D</t>
  </si>
  <si>
    <t>Alignment is off for the navigation bar on every page, and lacks clear description.</t>
  </si>
  <si>
    <t>The misalignment of the navigation bar across pages causes inconsistency, making the interface appear unpolished. Cannot understand what most of the icons mean.</t>
  </si>
  <si>
    <t>Ensure consistent alignment of the navigation bar across all pages for a cohesive user experience. Add labels to each icon.</t>
  </si>
  <si>
    <t>C, D</t>
  </si>
  <si>
    <t>5. Extra Violations</t>
  </si>
  <si>
    <t>Unsure what calendar feature on Profile is meant for (also not included in ReadMe).</t>
  </si>
  <si>
    <t>Users can be easily confused on what is supposed to show up in that section. Documentation may be helpful.</t>
  </si>
  <si>
    <t xml:space="preserve">Include a tutorial of how to navigate the app, or an info button next to Calendar users can click to see implementation rational; otherwise, include some sort of explanation beforehand that would explain what the calendar does. </t>
  </si>
  <si>
    <t>Chef Su feature may be difficult to navigate for users who are unfamiliar with AI chatbot interfaces. The icon when clicking on a recipe is also confusing on whether or not it's a clickable button to redirect to Chef Su.</t>
  </si>
  <si>
    <t>Although there are a few sample phrases, having a more explicit introduction to Chef Su could make the feature more widely used by everyone on the app.</t>
  </si>
  <si>
    <t>Clearly refer to Chef Su as an "AI assistant" and have it produce a preliminary prompt to encourage the user to reply, vs the other way around. Make sure the button to Chef Su is more intuitive (the microphone icon attached to it doesn't seem to make sense).</t>
  </si>
  <si>
    <t>On the profiles pages, there are 3 different sections for "Cookbooks", "All Recipes", and "Recreations" without specification of what they mean.  Also, hard to locate and unable to edit the list of saved recipes on this page.</t>
  </si>
  <si>
    <t xml:space="preserve">While "All Recipes" is intuitive, "Cookbooks" is a bit confusing as I'm unsure if this refers to actual cookbooks being linked or a format similar to Pinterest boards.
"Cookbooks" is vague and doesn't convey it contains saved recipes. Unsure if it's a preprovided collection of recipes or a user-curated board, like Pinterest. Users have no way to edit or remove saved recipes, limiting user control and freedom.
edit: I found where the saved button is, but no one in the group could find its location. Move it/make it more apparent." </t>
  </si>
  <si>
    <t>Specify what these sections each mean through captions and explanation text under the header. Rename "Cookbooks" to "Saved" for clarity and provide an option to edit or remove recipes directly from the saved list.</t>
  </si>
  <si>
    <t>No "Follow" or "Profile edit" button</t>
  </si>
  <si>
    <t>Without a follow button or profile edit option, users cannot interact with others or personalize their profiles.</t>
  </si>
  <si>
    <t xml:space="preserve">Add a clear "Follow" button and an option to edit the user profile to enhance interactivity and personalization.
</t>
  </si>
  <si>
    <t>Heuristic</t>
  </si>
  <si>
    <t># Viol. (sev 0)</t>
  </si>
  <si>
    <t># Viol. (sev 1)</t>
  </si>
  <si>
    <t># Viol. (sev 2)</t>
  </si>
  <si>
    <t># Viol. (sev 3)</t>
  </si>
  <si>
    <t># Viol. (sev 4)</t>
  </si>
  <si>
    <t># Viol. (total)</t>
  </si>
  <si>
    <t>H12. ​​Value Alignment &amp; Inclusion</t>
  </si>
  <si>
    <t>Total Violations</t>
  </si>
  <si>
    <t>* for this to calculate properly, delete any unused rows from your 'Group Heuristic Evaluation' chart!</t>
  </si>
  <si>
    <t xml:space="preserve">Evaluator A </t>
  </si>
  <si>
    <t>Evaluator B</t>
  </si>
  <si>
    <t xml:space="preserve">Evaluator C </t>
  </si>
  <si>
    <t xml:space="preserve">Evaluator D </t>
  </si>
  <si>
    <t>Total (sevs. 3 &amp; 4)</t>
  </si>
  <si>
    <t>Total (all sevs)</t>
  </si>
  <si>
    <r>
      <rPr>
        <rFont val="Arial"/>
        <b/>
        <color theme="1"/>
      </rPr>
      <t xml:space="preserve">Summary Recommendations </t>
    </r>
    <r>
      <rPr>
        <rFont val="Arial"/>
        <b val="0"/>
        <i/>
        <color theme="1"/>
      </rPr>
      <t>[merge the general recommendations you made here]</t>
    </r>
  </si>
  <si>
    <r>
      <rPr>
        <rFont val="Arial"/>
        <i/>
        <color theme="1"/>
      </rPr>
      <t xml:space="preserve">We split up our summary recommendation into two main problem areas: intuitive design and application flow.
</t>
    </r>
    <r>
      <rPr>
        <rFont val="Arial"/>
        <b/>
        <i val="0"/>
        <color theme="1"/>
      </rPr>
      <t xml:space="preserve">Intuitive Design
</t>
    </r>
    <r>
      <rPr>
        <rFont val="Arial"/>
        <i val="0"/>
        <color theme="1"/>
      </rPr>
      <t xml:space="preserve">The most commonly violated heuristics for Plated were H4: Consistency, H7: Flexibility &amp; Efficiency of Use and H8: Aesthetics and Minimalist Design. The most pressing issue around this area would be two-fold: inconsistency in aesthetics and function. Examples of aesthetic inconsistencies would be the icon design and how some icons are more simple vs. more complex compared to other icons. The weighting of the icon brush strokes is also different throughout the app, and also the sizing of the fonts is different throughout the app. Also, the navigation bar is inconsistent in placement throughout the various frames. Finally, the margins of the app are inconsistent, leading to a lot of visual clutter. We noticed a lot of the UI may also not be necessary such as the Calendar in the Profile tab that seems to jump out of nowhere, the unnecessary buttons for the Camera feature when posting a new recipe, and most importantly the "bookmark" and "next" buttons below each recipe presented to the user, but the users are told to instead swipe left or right.
There also seems to generally be an influx of too many features that are not fully fleshed out, which results in many of the violations limiting flexibility for the user, particularly H7. There are no categories for specific filters such as ‘Nut Allergy’ despite being present on the page, which would not fall under ‘ingredients’ or ‘cuisine.’ The Pantry items aren't linked to the types of recipes shown (it's not based on what ingredients you have); and Chef Su, although a great idea, isn't thoroughly implemented throughout the rest of the app. The involvement of Chef Su in the app is very unclear to the evaluators as all of us had different interpretations of how Chef Su is used in the app. In addition, despite this high count of additional features, integral ones like the moderate task of adding an ingredient to the pantry and onboarding are not implemented at all. Without onboarding, it was unclear what we had to do at each step such as swiping left and right without the ReadMe to guide us through. In addition, the Pantry tab is very confusing: There is no clear meaning in what the "This Week" folder means and where the rest of our ingredients in the pantry are if not in a specific folder we created. We would recommend going through each task flow individually and also looking at how they fit together into a cohesive app again and marking any areas that jump in logic or are underdeveloped.
</t>
    </r>
    <r>
      <rPr>
        <rFont val="Arial"/>
        <b/>
        <i val="0"/>
        <color theme="1"/>
      </rPr>
      <t xml:space="preserve">Application Flow
</t>
    </r>
    <r>
      <rPr>
        <rFont val="Arial"/>
        <i val="0"/>
        <color theme="1"/>
      </rPr>
      <t xml:space="preserve">Some heuristic violations were caused by unintuitive application flow that fell specifically under H2: Match b/w System &amp; World and H4: Consistency. There were several parts of navigating the prototype that may not be immediately obvious to the user. To complete the simple task, there is an implied background knowledge of how apps like “Hinge” or “Tinder” work via the swiping functionality. But, for users who haven’t used the app before, it could be confusing that they need to swipe in the first place or what the directions each mean for the swiping, especially since there is no notification shown if they end up discarding (swiping left) or saving (swiping right) the recipe. Indicators, arrows, and confirmation notifications may be necessary to improve this overall process.
Relying on the swiping feature to look through recipes also limits the user experience significantly. In order to look through other users’ recipes, they must swipe through the recipes that are populated on their main screen. There is no implemented way for the user to look for particular recipes/users or to look at multiple recipes on their screen at one time, and, if they want to look at their saved recipes, they must navigate to the profiles page where the saved button is at the top right of the screen. It’s not immediately obvious to the user where their saved recipes are and, since saving or liking recipes is a significant part of the swiping feature, it might be worth adding a completely new page on the navigation bar dedicated to showing these likes or, in general, making the save page more visually obvious to the users. 
The pantry from the moderate task also suffers from similar issues in application flow. The pantry feature lacks flexibility, making it cumbersome for users. Without the ability to search for ingredients, receive warnings for duplicates, edit or remove items, or automatically transfer items from the grocery cart to the pantry, managing inventory becomes tedious. This setup forces users to memorize ingredient locations by category, diminishing the pantry’s intended convenience. Furthermore, the recipes aren’t linked to what the user has in the pantry—even if the intention was to somehow utilize AI to do this, the current method of inputting ingredients prevent such functionality from working.
Overall, the prototype has many interesting ideas proposed for the final app, but the app should focus on user flexibility, aesthetic and consistent design, and intuitiveness in order to make these features accessible. Several issues can be resolved once more parts of the prototype are implemented, but you may want to consider features like a larger feed in conjunction to the swiping in order to ensure that users have the availability to see and explore all the recipes they would like. 
</t>
    </r>
  </si>
</sst>
</file>

<file path=xl/styles.xml><?xml version="1.0" encoding="utf-8"?>
<styleSheet xmlns="http://schemas.openxmlformats.org/spreadsheetml/2006/main" xmlns:x14ac="http://schemas.microsoft.com/office/spreadsheetml/2009/9/ac" xmlns:mc="http://schemas.openxmlformats.org/markup-compatibility/2006">
  <fonts count="17">
    <font>
      <sz val="10.0"/>
      <color rgb="FF000000"/>
      <name val="Arial"/>
      <scheme val="minor"/>
    </font>
    <font>
      <b/>
      <color theme="1"/>
      <name val="Arial"/>
      <scheme val="minor"/>
    </font>
    <font>
      <color theme="1"/>
      <name val="Arial"/>
      <scheme val="minor"/>
    </font>
    <font>
      <i/>
      <color theme="1"/>
      <name val="Arial"/>
      <scheme val="minor"/>
    </font>
    <font>
      <color rgb="FF434343"/>
      <name val="Roboto"/>
    </font>
    <font>
      <color rgb="FF753800"/>
      <name val="Roboto"/>
    </font>
    <font>
      <color rgb="FF473821"/>
      <name val="Roboto"/>
    </font>
    <font>
      <color rgb="FFB10202"/>
      <name val="Roboto"/>
    </font>
    <font>
      <color rgb="FFFFCFC9"/>
      <name val="Roboto"/>
    </font>
    <font>
      <color theme="1"/>
      <name val="Arial"/>
    </font>
    <font>
      <b/>
      <sz val="9.0"/>
      <color rgb="FF000000"/>
      <name val="&quot;Source Sans Pro&quot;"/>
    </font>
    <font>
      <color theme="1"/>
      <name val="Google Sans Mono"/>
    </font>
    <font>
      <sz val="9.0"/>
      <color rgb="FF000000"/>
      <name val="Google Sans Mono"/>
    </font>
    <font>
      <sz val="9.0"/>
      <color rgb="FF000000"/>
      <name val="&quot;Google Sans Mono&quot;"/>
    </font>
    <font>
      <b/>
      <color theme="1"/>
      <name val="Arial"/>
    </font>
    <font/>
    <font>
      <i/>
      <color theme="1"/>
      <name val="Arial"/>
    </font>
  </fonts>
  <fills count="6">
    <fill>
      <patternFill patternType="none"/>
    </fill>
    <fill>
      <patternFill patternType="lightGray"/>
    </fill>
    <fill>
      <patternFill patternType="solid">
        <fgColor rgb="FFF3F3F3"/>
        <bgColor rgb="FFF3F3F3"/>
      </patternFill>
    </fill>
    <fill>
      <patternFill patternType="solid">
        <fgColor rgb="FFFFFFFF"/>
        <bgColor rgb="FFFFFFFF"/>
      </patternFill>
    </fill>
    <fill>
      <patternFill patternType="solid">
        <fgColor rgb="FFF6F8F9"/>
        <bgColor rgb="FFF6F8F9"/>
      </patternFill>
    </fill>
    <fill>
      <patternFill patternType="solid">
        <fgColor rgb="FFEFEFEF"/>
        <bgColor rgb="FFEFEFEF"/>
      </patternFill>
    </fill>
  </fills>
  <borders count="23">
    <border/>
    <border>
      <left style="thin">
        <color rgb="FF442F65"/>
      </left>
      <right style="thin">
        <color rgb="FF5B3F86"/>
      </right>
      <top style="thin">
        <color rgb="FF442F65"/>
      </top>
      <bottom style="thin">
        <color rgb="FF442F65"/>
      </bottom>
    </border>
    <border>
      <left style="thin">
        <color rgb="FF5B3F86"/>
      </left>
      <right style="thin">
        <color rgb="FF5B3F86"/>
      </right>
      <top style="thin">
        <color rgb="FF442F65"/>
      </top>
      <bottom style="thin">
        <color rgb="FF442F65"/>
      </bottom>
    </border>
    <border>
      <left style="thin">
        <color rgb="FF5B3F86"/>
      </left>
      <right style="thin">
        <color rgb="FF442F65"/>
      </right>
      <top style="thin">
        <color rgb="FF442F65"/>
      </top>
      <bottom style="thin">
        <color rgb="FF442F65"/>
      </bottom>
    </border>
    <border>
      <left style="thin">
        <color rgb="FF442F65"/>
      </left>
      <right style="thin">
        <color rgb="FFFFFFFF"/>
      </right>
      <top style="thin">
        <color rgb="FFFFFFFF"/>
      </top>
      <bottom style="thin">
        <color rgb="FFFFFFFF"/>
      </bottom>
    </border>
    <border>
      <left style="thin">
        <color rgb="FFFFFFFF"/>
      </left>
      <right style="thin">
        <color rgb="FFFFFFFF"/>
      </right>
      <top style="thin">
        <color rgb="FFFFFFFF"/>
      </top>
      <bottom style="thin">
        <color rgb="FFFFFFFF"/>
      </bottom>
    </border>
    <border>
      <left style="thin">
        <color rgb="FFFFFFFF"/>
      </left>
      <right style="thin">
        <color rgb="FF442F65"/>
      </right>
      <top style="thin">
        <color rgb="FFFFFFFF"/>
      </top>
      <bottom style="thin">
        <color rgb="FFFFFFFF"/>
      </bottom>
    </border>
    <border>
      <left style="thin">
        <color rgb="FF442F65"/>
      </left>
      <right style="thin">
        <color rgb="FFF6F8F9"/>
      </right>
      <top style="thin">
        <color rgb="FFF6F8F9"/>
      </top>
      <bottom style="thin">
        <color rgb="FFF6F8F9"/>
      </bottom>
    </border>
    <border>
      <left style="thin">
        <color rgb="FFF6F8F9"/>
      </left>
      <right style="thin">
        <color rgb="FFF6F8F9"/>
      </right>
      <top style="thin">
        <color rgb="FFF6F8F9"/>
      </top>
      <bottom style="thin">
        <color rgb="FFF6F8F9"/>
      </bottom>
    </border>
    <border>
      <left style="thin">
        <color rgb="FFF6F8F9"/>
      </left>
      <right style="thin">
        <color rgb="FF442F65"/>
      </right>
      <top style="thin">
        <color rgb="FFF6F8F9"/>
      </top>
      <bottom style="thin">
        <color rgb="FFF6F8F9"/>
      </bottom>
    </border>
    <border>
      <left style="thin">
        <color rgb="FFFFFFFF"/>
      </left>
      <right style="thin">
        <color rgb="FFF6F8F9"/>
      </right>
      <top style="thin">
        <color rgb="FFFFFFFF"/>
      </top>
      <bottom style="thin">
        <color rgb="FFFFFFFF"/>
      </bottom>
    </border>
    <border>
      <left style="thin">
        <color rgb="FFF6F8F9"/>
      </left>
      <right style="thin">
        <color rgb="FFFFFFFF"/>
      </right>
      <top style="thin">
        <color rgb="FFF6F8F9"/>
      </top>
      <bottom style="thin">
        <color rgb="FFF6F8F9"/>
      </bottom>
    </border>
    <border>
      <left style="thin">
        <color rgb="FF442F65"/>
      </left>
      <right style="thin">
        <color rgb="FFF6F8F9"/>
      </right>
      <top style="thin">
        <color rgb="FFF6F8F9"/>
      </top>
      <bottom style="thin">
        <color rgb="FF442F65"/>
      </bottom>
    </border>
    <border>
      <left style="thin">
        <color rgb="FFF6F8F9"/>
      </left>
      <right style="thin">
        <color rgb="FFF6F8F9"/>
      </right>
      <top style="thin">
        <color rgb="FFF6F8F9"/>
      </top>
      <bottom style="thin">
        <color rgb="FF442F65"/>
      </bottom>
    </border>
    <border>
      <left style="thin">
        <color rgb="FFF6F8F9"/>
      </left>
      <right style="thin">
        <color rgb="FF442F65"/>
      </right>
      <top style="thin">
        <color rgb="FFF6F8F9"/>
      </top>
      <bottom style="thin">
        <color rgb="FF442F65"/>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rder>
    <border>
      <right style="thin">
        <color rgb="FF000000"/>
      </right>
    </border>
    <border>
      <left style="thin">
        <color rgb="FF000000"/>
      </left>
      <bottom style="thin">
        <color rgb="FF000000"/>
      </bottom>
    </border>
    <border>
      <bottom style="thin">
        <color rgb="FF000000"/>
      </bottom>
    </border>
    <border>
      <right style="thin">
        <color rgb="FF000000"/>
      </right>
      <bottom style="thin">
        <color rgb="FF000000"/>
      </bottom>
    </border>
  </borders>
  <cellStyleXfs count="1">
    <xf borderId="0" fillId="0" fontId="0" numFmtId="0" applyAlignment="1" applyFont="1"/>
  </cellStyleXfs>
  <cellXfs count="152">
    <xf borderId="0" fillId="0" fontId="0" numFmtId="0" xfId="0" applyAlignment="1" applyFont="1">
      <alignment readingOrder="0" shrinkToFit="0" vertical="bottom" wrapText="0"/>
    </xf>
    <xf borderId="0" fillId="0" fontId="1" numFmtId="0" xfId="0" applyAlignment="1" applyFont="1">
      <alignment horizontal="left" readingOrder="0" shrinkToFit="0" wrapText="1"/>
    </xf>
    <xf borderId="0" fillId="0" fontId="2" numFmtId="0" xfId="0" applyAlignment="1" applyFont="1">
      <alignment horizontal="left" readingOrder="0" shrinkToFit="0" wrapText="1"/>
    </xf>
    <xf borderId="0" fillId="0" fontId="2" numFmtId="0" xfId="0" applyAlignment="1" applyFont="1">
      <alignment horizontal="left" readingOrder="0" shrinkToFit="0" wrapText="1"/>
    </xf>
    <xf borderId="0" fillId="0" fontId="3" numFmtId="0" xfId="0" applyAlignment="1" applyFont="1">
      <alignment horizontal="left" readingOrder="0" shrinkToFit="0" wrapText="1"/>
    </xf>
    <xf borderId="0" fillId="2" fontId="1" numFmtId="0" xfId="0" applyAlignment="1" applyFill="1" applyFont="1">
      <alignment horizontal="left" readingOrder="0" shrinkToFit="0" wrapText="1"/>
    </xf>
    <xf borderId="0" fillId="0" fontId="1" numFmtId="0" xfId="0" applyAlignment="1" applyFont="1">
      <alignment horizontal="left" readingOrder="0" shrinkToFit="0" wrapText="1"/>
    </xf>
    <xf borderId="1" fillId="0" fontId="2" numFmtId="0" xfId="0" applyAlignment="1" applyBorder="1" applyFont="1">
      <alignment horizontal="left" readingOrder="0" shrinkToFit="0" vertical="center" wrapText="1"/>
    </xf>
    <xf borderId="2" fillId="0" fontId="2" numFmtId="0" xfId="0" applyAlignment="1" applyBorder="1" applyFont="1">
      <alignment horizontal="left" readingOrder="0" shrinkToFit="0" vertical="center" wrapText="1"/>
    </xf>
    <xf borderId="3" fillId="0" fontId="2" numFmtId="0" xfId="0" applyAlignment="1" applyBorder="1" applyFont="1">
      <alignment horizontal="left" readingOrder="0" shrinkToFit="0" vertical="center" wrapText="1"/>
    </xf>
    <xf borderId="4" fillId="0" fontId="2" numFmtId="0" xfId="0" applyAlignment="1" applyBorder="1" applyFont="1">
      <alignment readingOrder="0" shrinkToFit="0" vertical="center" wrapText="0"/>
    </xf>
    <xf borderId="5" fillId="3" fontId="4" numFmtId="0" xfId="0" applyAlignment="1" applyBorder="1" applyFill="1" applyFont="1">
      <alignment shrinkToFit="0" vertical="center" wrapText="0"/>
    </xf>
    <xf borderId="5" fillId="3" fontId="5" numFmtId="0" xfId="0" applyAlignment="1" applyBorder="1" applyFont="1">
      <alignment horizontal="right" readingOrder="0" shrinkToFit="0" vertical="center" wrapText="0"/>
    </xf>
    <xf borderId="5" fillId="3" fontId="4" numFmtId="49" xfId="0" applyAlignment="1" applyBorder="1" applyFont="1" applyNumberFormat="1">
      <alignment shrinkToFit="0" vertical="top" wrapText="1"/>
    </xf>
    <xf borderId="5" fillId="3" fontId="4" numFmtId="0" xfId="0" applyAlignment="1" applyBorder="1" applyFont="1">
      <alignment shrinkToFit="0" vertical="top" wrapText="1"/>
    </xf>
    <xf borderId="6" fillId="0" fontId="2" numFmtId="0" xfId="0" applyAlignment="1" applyBorder="1" applyFont="1">
      <alignment readingOrder="0" shrinkToFit="0" vertical="center" wrapText="0"/>
    </xf>
    <xf borderId="0" fillId="0" fontId="2" numFmtId="0" xfId="0" applyAlignment="1" applyFont="1">
      <alignment readingOrder="0"/>
    </xf>
    <xf borderId="7" fillId="0" fontId="2" numFmtId="0" xfId="0" applyAlignment="1" applyBorder="1" applyFont="1">
      <alignment readingOrder="0" shrinkToFit="0" vertical="center" wrapText="0"/>
    </xf>
    <xf borderId="8" fillId="3" fontId="4" numFmtId="0" xfId="0" applyAlignment="1" applyBorder="1" applyFont="1">
      <alignment shrinkToFit="0" vertical="center" wrapText="0"/>
    </xf>
    <xf borderId="8" fillId="3" fontId="6" numFmtId="0" xfId="0" applyAlignment="1" applyBorder="1" applyFont="1">
      <alignment horizontal="right" shrinkToFit="0" vertical="center" wrapText="0"/>
    </xf>
    <xf borderId="8" fillId="3" fontId="4" numFmtId="49" xfId="0" applyAlignment="1" applyBorder="1" applyFont="1" applyNumberFormat="1">
      <alignment shrinkToFit="0" vertical="top" wrapText="1"/>
    </xf>
    <xf borderId="8" fillId="3" fontId="4" numFmtId="0" xfId="0" applyAlignment="1" applyBorder="1" applyFont="1">
      <alignment shrinkToFit="0" vertical="top" wrapText="1"/>
    </xf>
    <xf borderId="8" fillId="3" fontId="4" numFmtId="0" xfId="0" applyAlignment="1" applyBorder="1" applyFont="1">
      <alignment readingOrder="0" shrinkToFit="0" vertical="top" wrapText="1"/>
    </xf>
    <xf borderId="9" fillId="0" fontId="2" numFmtId="0" xfId="0" applyAlignment="1" applyBorder="1" applyFont="1">
      <alignment readingOrder="0" shrinkToFit="0" vertical="center" wrapText="0"/>
    </xf>
    <xf borderId="5" fillId="3" fontId="4" numFmtId="0" xfId="0" applyAlignment="1" applyBorder="1" applyFont="1">
      <alignment shrinkToFit="0" vertical="center" wrapText="1"/>
    </xf>
    <xf borderId="8" fillId="4" fontId="4" numFmtId="0" xfId="0" applyAlignment="1" applyBorder="1" applyFill="1" applyFont="1">
      <alignment shrinkToFit="0" vertical="center" wrapText="0"/>
    </xf>
    <xf borderId="8" fillId="4" fontId="7" numFmtId="0" xfId="0" applyAlignment="1" applyBorder="1" applyFont="1">
      <alignment horizontal="right" shrinkToFit="0" vertical="center" wrapText="0"/>
    </xf>
    <xf borderId="8" fillId="4" fontId="4" numFmtId="49" xfId="0" applyAlignment="1" applyBorder="1" applyFont="1" applyNumberFormat="1">
      <alignment readingOrder="0" shrinkToFit="0" vertical="top" wrapText="1"/>
    </xf>
    <xf borderId="8" fillId="4" fontId="4" numFmtId="0" xfId="0" applyAlignment="1" applyBorder="1" applyFont="1">
      <alignment shrinkToFit="0" vertical="top" wrapText="1"/>
    </xf>
    <xf borderId="5" fillId="3" fontId="8" numFmtId="0" xfId="0" applyAlignment="1" applyBorder="1" applyFont="1">
      <alignment horizontal="right" shrinkToFit="0" vertical="center" wrapText="0"/>
    </xf>
    <xf borderId="8" fillId="3" fontId="8" numFmtId="0" xfId="0" applyAlignment="1" applyBorder="1" applyFont="1">
      <alignment horizontal="right" shrinkToFit="0" vertical="center" wrapText="0"/>
    </xf>
    <xf borderId="6" fillId="3" fontId="4" numFmtId="0" xfId="0" applyAlignment="1" applyBorder="1" applyFont="1">
      <alignment shrinkToFit="0" vertical="top" wrapText="1"/>
    </xf>
    <xf borderId="5" fillId="3" fontId="6" numFmtId="0" xfId="0" applyAlignment="1" applyBorder="1" applyFont="1">
      <alignment horizontal="right" shrinkToFit="0" vertical="center" wrapText="0"/>
    </xf>
    <xf borderId="9" fillId="3" fontId="4" numFmtId="0" xfId="0" applyAlignment="1" applyBorder="1" applyFont="1">
      <alignment shrinkToFit="0" vertical="top" wrapText="1"/>
    </xf>
    <xf borderId="5" fillId="0" fontId="2" numFmtId="0" xfId="0" applyAlignment="1" applyBorder="1" applyFont="1">
      <alignment readingOrder="0" shrinkToFit="0" vertical="center" wrapText="0"/>
    </xf>
    <xf borderId="5" fillId="0" fontId="2" numFmtId="0" xfId="0" applyAlignment="1" applyBorder="1" applyFont="1">
      <alignment readingOrder="0" shrinkToFit="0" vertical="center" wrapText="0"/>
    </xf>
    <xf borderId="5" fillId="0" fontId="2" numFmtId="49" xfId="0" applyAlignment="1" applyBorder="1" applyFont="1" applyNumberFormat="1">
      <alignment readingOrder="0" shrinkToFit="0" vertical="center" wrapText="1"/>
    </xf>
    <xf borderId="5" fillId="0" fontId="2" numFmtId="0" xfId="0" applyAlignment="1" applyBorder="1" applyFont="1">
      <alignment readingOrder="0" shrinkToFit="0" vertical="center" wrapText="1"/>
    </xf>
    <xf borderId="6" fillId="0" fontId="2" numFmtId="0" xfId="0" applyAlignment="1" applyBorder="1" applyFont="1">
      <alignment readingOrder="0" shrinkToFit="0" vertical="center" wrapText="1"/>
    </xf>
    <xf borderId="8" fillId="3" fontId="5" numFmtId="0" xfId="0" applyAlignment="1" applyBorder="1" applyFont="1">
      <alignment horizontal="right" shrinkToFit="0" vertical="center" wrapText="0"/>
    </xf>
    <xf borderId="5" fillId="3" fontId="4" numFmtId="49" xfId="0" applyAlignment="1" applyBorder="1" applyFont="1" applyNumberFormat="1">
      <alignment horizontal="left" readingOrder="0" shrinkToFit="0" vertical="center" wrapText="1"/>
    </xf>
    <xf borderId="5" fillId="3" fontId="4" numFmtId="0" xfId="0" applyAlignment="1" applyBorder="1" applyFont="1">
      <alignment horizontal="left" readingOrder="0" shrinkToFit="0" vertical="center" wrapText="1"/>
    </xf>
    <xf borderId="8" fillId="4" fontId="5" numFmtId="0" xfId="0" applyAlignment="1" applyBorder="1" applyFont="1">
      <alignment horizontal="right" readingOrder="0" shrinkToFit="0" vertical="center" wrapText="0"/>
    </xf>
    <xf borderId="8" fillId="4" fontId="4" numFmtId="49" xfId="0" applyAlignment="1" applyBorder="1" applyFont="1" applyNumberFormat="1">
      <alignment shrinkToFit="0" vertical="top" wrapText="1"/>
    </xf>
    <xf borderId="9" fillId="4" fontId="4" numFmtId="0" xfId="0" applyAlignment="1" applyBorder="1" applyFont="1">
      <alignment shrinkToFit="0" vertical="top" wrapText="1"/>
    </xf>
    <xf borderId="5" fillId="3" fontId="4" numFmtId="49" xfId="0" applyAlignment="1" applyBorder="1" applyFont="1" applyNumberFormat="1">
      <alignment shrinkToFit="0" vertical="center" wrapText="1"/>
    </xf>
    <xf borderId="6" fillId="3" fontId="4" numFmtId="0" xfId="0" applyAlignment="1" applyBorder="1" applyFont="1">
      <alignment shrinkToFit="0" vertical="center" wrapText="1"/>
    </xf>
    <xf borderId="5" fillId="3" fontId="7" numFmtId="0" xfId="0" applyAlignment="1" applyBorder="1" applyFont="1">
      <alignment horizontal="right" shrinkToFit="0" vertical="center" wrapText="0"/>
    </xf>
    <xf borderId="5" fillId="3" fontId="4" numFmtId="49" xfId="0" applyAlignment="1" applyBorder="1" applyFont="1" applyNumberFormat="1">
      <alignment readingOrder="0" shrinkToFit="0" vertical="top" wrapText="1"/>
    </xf>
    <xf borderId="5" fillId="3" fontId="4" numFmtId="0" xfId="0" applyAlignment="1" applyBorder="1" applyFont="1">
      <alignment readingOrder="0" shrinkToFit="0" vertical="top" wrapText="1"/>
    </xf>
    <xf borderId="6" fillId="3" fontId="4" numFmtId="0" xfId="0" applyAlignment="1" applyBorder="1" applyFont="1">
      <alignment readingOrder="0" shrinkToFit="0" vertical="top" wrapText="1"/>
    </xf>
    <xf borderId="5" fillId="4" fontId="4" numFmtId="0" xfId="0" applyAlignment="1" applyBorder="1" applyFont="1">
      <alignment shrinkToFit="0" vertical="center" wrapText="0"/>
    </xf>
    <xf borderId="5" fillId="4" fontId="8" numFmtId="0" xfId="0" applyAlignment="1" applyBorder="1" applyFont="1">
      <alignment horizontal="right" shrinkToFit="0" vertical="center" wrapText="0"/>
    </xf>
    <xf borderId="5" fillId="4" fontId="4" numFmtId="49" xfId="0" applyAlignment="1" applyBorder="1" applyFont="1" applyNumberFormat="1">
      <alignment shrinkToFit="0" vertical="top" wrapText="1"/>
    </xf>
    <xf borderId="5" fillId="4" fontId="4" numFmtId="0" xfId="0" applyAlignment="1" applyBorder="1" applyFont="1">
      <alignment shrinkToFit="0" vertical="top" wrapText="1"/>
    </xf>
    <xf borderId="6" fillId="4" fontId="4" numFmtId="0" xfId="0" applyAlignment="1" applyBorder="1" applyFont="1">
      <alignment shrinkToFit="0" vertical="top" wrapText="1"/>
    </xf>
    <xf borderId="8" fillId="4" fontId="6" numFmtId="0" xfId="0" applyAlignment="1" applyBorder="1" applyFont="1">
      <alignment horizontal="right" shrinkToFit="0" vertical="center" wrapText="0"/>
    </xf>
    <xf borderId="8" fillId="0" fontId="2" numFmtId="0" xfId="0" applyAlignment="1" applyBorder="1" applyFont="1">
      <alignment readingOrder="0" shrinkToFit="0" vertical="center" wrapText="0"/>
    </xf>
    <xf borderId="8" fillId="0" fontId="2" numFmtId="0" xfId="0" applyAlignment="1" applyBorder="1" applyFont="1">
      <alignment readingOrder="0" shrinkToFit="0" vertical="center" wrapText="0"/>
    </xf>
    <xf borderId="8" fillId="0" fontId="2" numFmtId="49" xfId="0" applyAlignment="1" applyBorder="1" applyFont="1" applyNumberFormat="1">
      <alignment readingOrder="0" shrinkToFit="0" vertical="center" wrapText="1"/>
    </xf>
    <xf borderId="8" fillId="0" fontId="2" numFmtId="0" xfId="0" applyAlignment="1" applyBorder="1" applyFont="1">
      <alignment readingOrder="0" shrinkToFit="0" vertical="center" wrapText="1"/>
    </xf>
    <xf borderId="9" fillId="0" fontId="2" numFmtId="0" xfId="0" applyAlignment="1" applyBorder="1" applyFont="1">
      <alignment readingOrder="0" shrinkToFit="0" vertical="center" wrapText="1"/>
    </xf>
    <xf borderId="8" fillId="4" fontId="4" numFmtId="49" xfId="0" applyAlignment="1" applyBorder="1" applyFont="1" applyNumberFormat="1">
      <alignment shrinkToFit="0" vertical="center" wrapText="1"/>
    </xf>
    <xf borderId="8" fillId="4" fontId="4" numFmtId="0" xfId="0" applyAlignment="1" applyBorder="1" applyFont="1">
      <alignment shrinkToFit="0" vertical="center" wrapText="1"/>
    </xf>
    <xf borderId="9" fillId="4" fontId="4" numFmtId="0" xfId="0" applyAlignment="1" applyBorder="1" applyFont="1">
      <alignment shrinkToFit="0" vertical="center" wrapText="1"/>
    </xf>
    <xf borderId="5" fillId="4" fontId="5" numFmtId="0" xfId="0" applyAlignment="1" applyBorder="1" applyFont="1">
      <alignment horizontal="right" shrinkToFit="0" vertical="center" wrapText="0"/>
    </xf>
    <xf borderId="8" fillId="4" fontId="4" numFmtId="0" xfId="0" applyAlignment="1" applyBorder="1" applyFont="1">
      <alignment readingOrder="0" shrinkToFit="0" vertical="center" wrapText="0"/>
    </xf>
    <xf borderId="8" fillId="4" fontId="8" numFmtId="0" xfId="0" applyAlignment="1" applyBorder="1" applyFont="1">
      <alignment horizontal="right" readingOrder="0" shrinkToFit="0" vertical="center" wrapText="0"/>
    </xf>
    <xf borderId="8" fillId="4" fontId="4" numFmtId="0" xfId="0" applyAlignment="1" applyBorder="1" applyFont="1">
      <alignment readingOrder="0" shrinkToFit="0" vertical="center" wrapText="1"/>
    </xf>
    <xf borderId="5" fillId="3" fontId="4" numFmtId="0" xfId="0" applyAlignment="1" applyBorder="1" applyFont="1">
      <alignment readingOrder="0" shrinkToFit="0" vertical="center" wrapText="0"/>
    </xf>
    <xf borderId="8" fillId="3" fontId="4" numFmtId="49" xfId="0" applyAlignment="1" applyBorder="1" applyFont="1" applyNumberFormat="1">
      <alignment readingOrder="0" shrinkToFit="0" vertical="center" wrapText="1"/>
    </xf>
    <xf borderId="8" fillId="3" fontId="4" numFmtId="0" xfId="0" applyAlignment="1" applyBorder="1" applyFont="1">
      <alignment readingOrder="0" shrinkToFit="0" vertical="center" wrapText="1"/>
    </xf>
    <xf borderId="5" fillId="4" fontId="7" numFmtId="0" xfId="0" applyAlignment="1" applyBorder="1" applyFont="1">
      <alignment horizontal="right" shrinkToFit="0" vertical="center" wrapText="0"/>
    </xf>
    <xf borderId="5" fillId="4" fontId="4" numFmtId="49" xfId="0" applyAlignment="1" applyBorder="1" applyFont="1" applyNumberFormat="1">
      <alignment shrinkToFit="0" vertical="center" wrapText="1"/>
    </xf>
    <xf borderId="5" fillId="4" fontId="4" numFmtId="0" xfId="0" applyAlignment="1" applyBorder="1" applyFont="1">
      <alignment shrinkToFit="0" vertical="center" wrapText="1"/>
    </xf>
    <xf borderId="5" fillId="4" fontId="4" numFmtId="0" xfId="0" applyAlignment="1" applyBorder="1" applyFont="1">
      <alignment readingOrder="0" shrinkToFit="0" vertical="center" wrapText="1"/>
    </xf>
    <xf borderId="5" fillId="3" fontId="4" numFmtId="0" xfId="0" applyAlignment="1" applyBorder="1" applyFont="1">
      <alignment shrinkToFit="0" vertical="center" wrapText="1"/>
    </xf>
    <xf borderId="5" fillId="3" fontId="6" numFmtId="0" xfId="0" applyAlignment="1" applyBorder="1" applyFont="1">
      <alignment horizontal="right" shrinkToFit="0" vertical="center" wrapText="1"/>
    </xf>
    <xf borderId="5" fillId="3" fontId="4" numFmtId="49" xfId="0" applyAlignment="1" applyBorder="1" applyFont="1" applyNumberFormat="1">
      <alignment readingOrder="0" shrinkToFit="0" vertical="center" wrapText="1"/>
    </xf>
    <xf borderId="5" fillId="3" fontId="4" numFmtId="0" xfId="0" applyAlignment="1" applyBorder="1" applyFont="1">
      <alignment readingOrder="0" shrinkToFit="0" vertical="center" wrapText="1"/>
    </xf>
    <xf borderId="6" fillId="0" fontId="9" numFmtId="0" xfId="0" applyAlignment="1" applyBorder="1" applyFont="1">
      <alignment readingOrder="0" shrinkToFit="0" vertical="bottom" wrapText="0"/>
    </xf>
    <xf borderId="5" fillId="4" fontId="4" numFmtId="0" xfId="0" applyAlignment="1" applyBorder="1" applyFont="1">
      <alignment readingOrder="0" shrinkToFit="0" vertical="center" wrapText="0"/>
    </xf>
    <xf borderId="8" fillId="4" fontId="5" numFmtId="0" xfId="0" applyAlignment="1" applyBorder="1" applyFont="1">
      <alignment horizontal="right" shrinkToFit="0" vertical="center" wrapText="0"/>
    </xf>
    <xf borderId="8" fillId="4" fontId="4" numFmtId="0" xfId="0" applyAlignment="1" applyBorder="1" applyFont="1">
      <alignment readingOrder="0" shrinkToFit="0" vertical="top" wrapText="1"/>
    </xf>
    <xf borderId="10" fillId="3" fontId="4" numFmtId="0" xfId="0" applyAlignment="1" applyBorder="1" applyFont="1">
      <alignment shrinkToFit="0" vertical="center" wrapText="1"/>
    </xf>
    <xf borderId="11" fillId="3" fontId="4" numFmtId="0" xfId="0" applyAlignment="1" applyBorder="1" applyFont="1">
      <alignment shrinkToFit="0" vertical="top" wrapText="1"/>
    </xf>
    <xf borderId="7" fillId="4" fontId="4" numFmtId="0" xfId="0" applyAlignment="1" applyBorder="1" applyFont="1">
      <alignment horizontal="right" shrinkToFit="0" vertical="center" wrapText="1"/>
    </xf>
    <xf borderId="5" fillId="4" fontId="4" numFmtId="0" xfId="0" applyAlignment="1" applyBorder="1" applyFont="1">
      <alignment shrinkToFit="0" vertical="center" wrapText="1"/>
    </xf>
    <xf borderId="5" fillId="4" fontId="7" numFmtId="0" xfId="0" applyAlignment="1" applyBorder="1" applyFont="1">
      <alignment horizontal="right" shrinkToFit="0" vertical="center" wrapText="1"/>
    </xf>
    <xf borderId="10" fillId="4" fontId="4" numFmtId="0" xfId="0" applyAlignment="1" applyBorder="1" applyFont="1">
      <alignment shrinkToFit="0" vertical="center" wrapText="1"/>
    </xf>
    <xf borderId="9" fillId="0" fontId="9" numFmtId="0" xfId="0" applyAlignment="1" applyBorder="1" applyFont="1">
      <alignment readingOrder="0" shrinkToFit="0" vertical="bottom" wrapText="0"/>
    </xf>
    <xf borderId="5" fillId="4" fontId="6" numFmtId="0" xfId="0" applyAlignment="1" applyBorder="1" applyFont="1">
      <alignment horizontal="right" shrinkToFit="0" vertical="center" wrapText="0"/>
    </xf>
    <xf borderId="5" fillId="4" fontId="4" numFmtId="0" xfId="0" applyAlignment="1" applyBorder="1" applyFont="1">
      <alignment readingOrder="0" shrinkToFit="0" vertical="top" wrapText="1"/>
    </xf>
    <xf borderId="8" fillId="0" fontId="2" numFmtId="49" xfId="0" applyAlignment="1" applyBorder="1" applyFont="1" applyNumberFormat="1">
      <alignment readingOrder="0" shrinkToFit="0" vertical="center" wrapText="1"/>
    </xf>
    <xf borderId="8" fillId="0" fontId="2" numFmtId="0" xfId="0" applyAlignment="1" applyBorder="1" applyFont="1">
      <alignment readingOrder="0" shrinkToFit="0" vertical="center" wrapText="1"/>
    </xf>
    <xf borderId="9" fillId="0" fontId="2" numFmtId="0" xfId="0" applyAlignment="1" applyBorder="1" applyFont="1">
      <alignment readingOrder="0" shrinkToFit="0" vertical="center" wrapText="0"/>
    </xf>
    <xf borderId="5" fillId="0" fontId="4" numFmtId="49" xfId="0" applyAlignment="1" applyBorder="1" applyFont="1" applyNumberFormat="1">
      <alignment readingOrder="0" shrinkToFit="0" vertical="center" wrapText="1"/>
    </xf>
    <xf borderId="8" fillId="4" fontId="4" numFmtId="0" xfId="0" applyAlignment="1" applyBorder="1" applyFont="1">
      <alignment shrinkToFit="0" vertical="center" wrapText="1"/>
    </xf>
    <xf borderId="8" fillId="4" fontId="5" numFmtId="0" xfId="0" applyAlignment="1" applyBorder="1" applyFont="1">
      <alignment horizontal="right" shrinkToFit="0" vertical="center" wrapText="1"/>
    </xf>
    <xf borderId="5" fillId="3" fontId="7" numFmtId="0" xfId="0" applyAlignment="1" applyBorder="1" applyFont="1">
      <alignment horizontal="right" shrinkToFit="0" vertical="center" wrapText="1"/>
    </xf>
    <xf borderId="7" fillId="3" fontId="4" numFmtId="0" xfId="0" applyAlignment="1" applyBorder="1" applyFont="1">
      <alignment horizontal="right" shrinkToFit="0" vertical="center" wrapText="1"/>
    </xf>
    <xf borderId="8" fillId="3" fontId="4" numFmtId="0" xfId="0" applyAlignment="1" applyBorder="1" applyFont="1">
      <alignment shrinkToFit="0" vertical="center" wrapText="1"/>
    </xf>
    <xf borderId="8" fillId="4" fontId="8" numFmtId="0" xfId="0" applyAlignment="1" applyBorder="1" applyFont="1">
      <alignment horizontal="right" shrinkToFit="0" vertical="center" wrapText="0"/>
    </xf>
    <xf borderId="11" fillId="4" fontId="4" numFmtId="0" xfId="0" applyAlignment="1" applyBorder="1" applyFont="1">
      <alignment shrinkToFit="0" vertical="top" wrapText="1"/>
    </xf>
    <xf borderId="8" fillId="4" fontId="8" numFmtId="0" xfId="0" applyAlignment="1" applyBorder="1" applyFont="1">
      <alignment horizontal="right" shrinkToFit="0" vertical="center" wrapText="1"/>
    </xf>
    <xf borderId="10" fillId="3" fontId="4" numFmtId="0" xfId="0" applyAlignment="1" applyBorder="1" applyFont="1">
      <alignment readingOrder="0" shrinkToFit="0" vertical="top" wrapText="1"/>
    </xf>
    <xf borderId="8" fillId="4" fontId="4" numFmtId="0" xfId="0" applyAlignment="1" applyBorder="1" applyFont="1">
      <alignment shrinkToFit="0" vertical="center" wrapText="0"/>
    </xf>
    <xf borderId="8" fillId="4" fontId="6" numFmtId="0" xfId="0" applyAlignment="1" applyBorder="1" applyFont="1">
      <alignment horizontal="right" readingOrder="0" shrinkToFit="0" vertical="center" wrapText="0"/>
    </xf>
    <xf borderId="8" fillId="4" fontId="4" numFmtId="49" xfId="0" applyAlignment="1" applyBorder="1" applyFont="1" applyNumberFormat="1">
      <alignment readingOrder="0" shrinkToFit="0" vertical="center" wrapText="1"/>
    </xf>
    <xf borderId="11" fillId="4" fontId="4" numFmtId="0" xfId="0" applyAlignment="1" applyBorder="1" applyFont="1">
      <alignment readingOrder="0" shrinkToFit="0" vertical="center" wrapText="1"/>
    </xf>
    <xf borderId="5" fillId="3" fontId="5" numFmtId="0" xfId="0" applyAlignment="1" applyBorder="1" applyFont="1">
      <alignment horizontal="right" shrinkToFit="0" vertical="center" wrapText="0"/>
    </xf>
    <xf borderId="10" fillId="3" fontId="4" numFmtId="0" xfId="0" applyAlignment="1" applyBorder="1" applyFont="1">
      <alignment shrinkToFit="0" vertical="top" wrapText="1"/>
    </xf>
    <xf borderId="4" fillId="4" fontId="4" numFmtId="0" xfId="0" applyAlignment="1" applyBorder="1" applyFont="1">
      <alignment horizontal="right" shrinkToFit="0" vertical="center" wrapText="1"/>
    </xf>
    <xf borderId="5" fillId="4" fontId="5" numFmtId="0" xfId="0" applyAlignment="1" applyBorder="1" applyFont="1">
      <alignment horizontal="right" shrinkToFit="0" vertical="center" wrapText="1"/>
    </xf>
    <xf borderId="8" fillId="0" fontId="4" numFmtId="49" xfId="0" applyAlignment="1" applyBorder="1" applyFont="1" applyNumberFormat="1">
      <alignment readingOrder="0" shrinkToFit="0" vertical="center" wrapText="1"/>
    </xf>
    <xf borderId="5" fillId="4" fontId="6" numFmtId="0" xfId="0" applyAlignment="1" applyBorder="1" applyFont="1">
      <alignment horizontal="right" shrinkToFit="0" vertical="center" wrapText="1"/>
    </xf>
    <xf borderId="6" fillId="4" fontId="4" numFmtId="0" xfId="0" applyAlignment="1" applyBorder="1" applyFont="1">
      <alignment shrinkToFit="0" vertical="center" wrapText="1"/>
    </xf>
    <xf borderId="0" fillId="0" fontId="9" numFmtId="0" xfId="0" applyAlignment="1" applyFont="1">
      <alignment vertical="bottom"/>
    </xf>
    <xf borderId="6" fillId="3" fontId="4" numFmtId="0" xfId="0" applyAlignment="1" applyBorder="1" applyFont="1">
      <alignment readingOrder="0" shrinkToFit="0" vertical="center" wrapText="1"/>
    </xf>
    <xf borderId="8" fillId="4" fontId="7" numFmtId="0" xfId="0" applyAlignment="1" applyBorder="1" applyFont="1">
      <alignment horizontal="right" readingOrder="0" shrinkToFit="0" vertical="center" wrapText="0"/>
    </xf>
    <xf borderId="9" fillId="4" fontId="4" numFmtId="0" xfId="0" applyAlignment="1" applyBorder="1" applyFont="1">
      <alignment readingOrder="0" shrinkToFit="0" vertical="center" wrapText="1"/>
    </xf>
    <xf borderId="8" fillId="3" fontId="4" numFmtId="0" xfId="0" applyAlignment="1" applyBorder="1" applyFont="1">
      <alignment shrinkToFit="0" vertical="center" wrapText="1"/>
    </xf>
    <xf borderId="8" fillId="3" fontId="5" numFmtId="0" xfId="0" applyAlignment="1" applyBorder="1" applyFont="1">
      <alignment horizontal="right" shrinkToFit="0" vertical="center" wrapText="1"/>
    </xf>
    <xf borderId="9" fillId="3" fontId="4" numFmtId="0" xfId="0" applyAlignment="1" applyBorder="1" applyFont="1">
      <alignment readingOrder="0" shrinkToFit="0" vertical="center" wrapText="1"/>
    </xf>
    <xf borderId="12" fillId="0" fontId="2" numFmtId="0" xfId="0" applyAlignment="1" applyBorder="1" applyFont="1">
      <alignment shrinkToFit="0" vertical="center" wrapText="0"/>
    </xf>
    <xf borderId="13" fillId="0" fontId="2" numFmtId="0" xfId="0" applyAlignment="1" applyBorder="1" applyFont="1">
      <alignment shrinkToFit="0" vertical="center" wrapText="0"/>
    </xf>
    <xf borderId="13" fillId="0" fontId="2" numFmtId="0" xfId="0" applyAlignment="1" applyBorder="1" applyFont="1">
      <alignment shrinkToFit="0" vertical="center" wrapText="0"/>
    </xf>
    <xf borderId="14" fillId="0" fontId="2" numFmtId="0" xfId="0" applyAlignment="1" applyBorder="1" applyFont="1">
      <alignment shrinkToFit="0" vertical="center" wrapText="0"/>
    </xf>
    <xf borderId="15" fillId="2" fontId="1" numFmtId="0" xfId="0" applyAlignment="1" applyBorder="1" applyFont="1">
      <alignment readingOrder="0"/>
    </xf>
    <xf borderId="16" fillId="2" fontId="10" numFmtId="0" xfId="0" applyAlignment="1" applyBorder="1" applyFont="1">
      <alignment horizontal="left" readingOrder="0" shrinkToFit="0" wrapText="1"/>
    </xf>
    <xf borderId="17" fillId="2" fontId="10" numFmtId="0" xfId="0" applyAlignment="1" applyBorder="1" applyFont="1">
      <alignment horizontal="left" readingOrder="0" shrinkToFit="0" wrapText="1"/>
    </xf>
    <xf borderId="0" fillId="0" fontId="1" numFmtId="0" xfId="0" applyAlignment="1" applyFont="1">
      <alignment readingOrder="0"/>
    </xf>
    <xf borderId="18" fillId="0" fontId="0" numFmtId="0" xfId="0" applyAlignment="1" applyBorder="1" applyFont="1">
      <alignment readingOrder="0"/>
    </xf>
    <xf borderId="0" fillId="0" fontId="11" numFmtId="0" xfId="0" applyFont="1"/>
    <xf borderId="0" fillId="3" fontId="12" numFmtId="0" xfId="0" applyFont="1"/>
    <xf borderId="19" fillId="0" fontId="11" numFmtId="0" xfId="0" applyBorder="1" applyFont="1"/>
    <xf borderId="18" fillId="0" fontId="0" numFmtId="0" xfId="0" applyAlignment="1" applyBorder="1" applyFont="1">
      <alignment horizontal="left" readingOrder="0" shrinkToFit="0" wrapText="1"/>
    </xf>
    <xf borderId="19" fillId="3" fontId="12" numFmtId="0" xfId="0" applyBorder="1" applyFont="1"/>
    <xf borderId="0" fillId="3" fontId="13" numFmtId="0" xfId="0" applyFont="1"/>
    <xf borderId="20" fillId="0" fontId="1" numFmtId="0" xfId="0" applyAlignment="1" applyBorder="1" applyFont="1">
      <alignment readingOrder="0"/>
    </xf>
    <xf borderId="21" fillId="0" fontId="11" numFmtId="0" xfId="0" applyBorder="1" applyFont="1"/>
    <xf borderId="22" fillId="0" fontId="11" numFmtId="0" xfId="0" applyBorder="1" applyFont="1"/>
    <xf borderId="0" fillId="0" fontId="14" numFmtId="0" xfId="0" applyAlignment="1" applyFont="1">
      <alignment vertical="bottom"/>
    </xf>
    <xf borderId="0" fillId="0" fontId="14" numFmtId="0" xfId="0" applyAlignment="1" applyFont="1">
      <alignment readingOrder="0" vertical="bottom"/>
    </xf>
    <xf borderId="0" fillId="0" fontId="3" numFmtId="0" xfId="0" applyAlignment="1" applyFont="1">
      <alignment horizontal="center" readingOrder="0"/>
    </xf>
    <xf borderId="0" fillId="2" fontId="1" numFmtId="0" xfId="0" applyAlignment="1" applyFont="1">
      <alignment horizontal="center" readingOrder="0"/>
    </xf>
    <xf borderId="0" fillId="3" fontId="13" numFmtId="0" xfId="0" applyAlignment="1" applyFont="1">
      <alignment horizontal="left"/>
    </xf>
    <xf borderId="0" fillId="0" fontId="2" numFmtId="0" xfId="0" applyFont="1"/>
    <xf borderId="15" fillId="5" fontId="14" numFmtId="0" xfId="0" applyAlignment="1" applyBorder="1" applyFill="1" applyFont="1">
      <alignment readingOrder="0" vertical="bottom"/>
    </xf>
    <xf borderId="16" fillId="0" fontId="15" numFmtId="0" xfId="0" applyBorder="1" applyFont="1"/>
    <xf borderId="17" fillId="0" fontId="15" numFmtId="0" xfId="0" applyBorder="1" applyFont="1"/>
    <xf borderId="0" fillId="0" fontId="16" numFmtId="0" xfId="0" applyAlignment="1" applyFont="1">
      <alignment readingOrder="0" shrinkToFit="0" vertical="top" wrapText="1"/>
    </xf>
  </cellXfs>
  <cellStyles count="1">
    <cellStyle xfId="0" name="Normal" builtinId="0"/>
  </cellStyles>
  <dxfs count="4">
    <dxf>
      <font/>
      <fill>
        <patternFill patternType="none"/>
      </fill>
      <border/>
    </dxf>
    <dxf>
      <font/>
      <fill>
        <patternFill patternType="solid">
          <fgColor rgb="FF5B3F86"/>
          <bgColor rgb="FF5B3F86"/>
        </patternFill>
      </fill>
      <border/>
    </dxf>
    <dxf>
      <font/>
      <fill>
        <patternFill patternType="solid">
          <fgColor rgb="FFFFFFFF"/>
          <bgColor rgb="FFFFFFFF"/>
        </patternFill>
      </fill>
      <border/>
    </dxf>
    <dxf>
      <font/>
      <fill>
        <patternFill patternType="solid">
          <fgColor rgb="FFF6F8F9"/>
          <bgColor rgb="FFF6F8F9"/>
        </patternFill>
      </fill>
      <border/>
    </dxf>
  </dxfs>
  <tableStyles count="2">
    <tableStyle count="3" pivot="0" name="Group Heuristic Evaluation-style">
      <tableStyleElement dxfId="1" type="headerRow"/>
      <tableStyleElement dxfId="2" type="firstRowStripe"/>
      <tableStyleElement dxfId="3" type="secondRowStripe"/>
    </tableStyle>
    <tableStyle count="2" pivot="0" name="Group Heuristic Evaluation-style 2">
      <tableStyleElement dxfId="3" type="firstRowStripe"/>
      <tableStyleElement dxfId="2" type="secondRowStripe"/>
    </tableStyle>
  </tableStyle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3.png"/><Relationship Id="rId2" Type="http://schemas.openxmlformats.org/officeDocument/2006/relationships/image" Target="../media/image4.png"/><Relationship Id="rId3" Type="http://schemas.openxmlformats.org/officeDocument/2006/relationships/image" Target="../media/image2.png"/><Relationship Id="rId4"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12</xdr:col>
      <xdr:colOff>9525</xdr:colOff>
      <xdr:row>10</xdr:row>
      <xdr:rowOff>2171700</xdr:rowOff>
    </xdr:from>
    <xdr:ext cx="1752600" cy="1257300"/>
    <xdr:pic>
      <xdr:nvPicPr>
        <xdr:cNvPr id="0" name="image3.png" title="Image"/>
        <xdr:cNvPicPr preferRelativeResize="0"/>
      </xdr:nvPicPr>
      <xdr:blipFill>
        <a:blip cstate="print" r:embed="rId1"/>
        <a:stretch>
          <a:fillRect/>
        </a:stretch>
      </xdr:blipFill>
      <xdr:spPr>
        <a:prstGeom prst="rect">
          <a:avLst/>
        </a:prstGeom>
        <a:noFill/>
      </xdr:spPr>
    </xdr:pic>
    <xdr:clientData fLocksWithSheet="0"/>
  </xdr:oneCellAnchor>
  <xdr:oneCellAnchor>
    <xdr:from>
      <xdr:col>9</xdr:col>
      <xdr:colOff>1647825</xdr:colOff>
      <xdr:row>10</xdr:row>
      <xdr:rowOff>2171700</xdr:rowOff>
    </xdr:from>
    <xdr:ext cx="2124075" cy="4552950"/>
    <xdr:pic>
      <xdr:nvPicPr>
        <xdr:cNvPr id="0" name="image4.png" title="Image"/>
        <xdr:cNvPicPr preferRelativeResize="0"/>
      </xdr:nvPicPr>
      <xdr:blipFill>
        <a:blip cstate="print" r:embed="rId2"/>
        <a:stretch>
          <a:fillRect/>
        </a:stretch>
      </xdr:blipFill>
      <xdr:spPr>
        <a:prstGeom prst="rect">
          <a:avLst/>
        </a:prstGeom>
        <a:noFill/>
      </xdr:spPr>
    </xdr:pic>
    <xdr:clientData fLocksWithSheet="0"/>
  </xdr:oneCellAnchor>
  <xdr:oneCellAnchor>
    <xdr:from>
      <xdr:col>4</xdr:col>
      <xdr:colOff>104775</xdr:colOff>
      <xdr:row>32</xdr:row>
      <xdr:rowOff>400050</xdr:rowOff>
    </xdr:from>
    <xdr:ext cx="552450" cy="819150"/>
    <xdr:pic>
      <xdr:nvPicPr>
        <xdr:cNvPr id="0" name="image2.png" title="Image"/>
        <xdr:cNvPicPr preferRelativeResize="0"/>
      </xdr:nvPicPr>
      <xdr:blipFill>
        <a:blip cstate="print" r:embed="rId3"/>
        <a:stretch>
          <a:fillRect/>
        </a:stretch>
      </xdr:blipFill>
      <xdr:spPr>
        <a:prstGeom prst="rect">
          <a:avLst/>
        </a:prstGeom>
        <a:noFill/>
      </xdr:spPr>
    </xdr:pic>
    <xdr:clientData fLocksWithSheet="0"/>
  </xdr:oneCellAnchor>
  <xdr:oneCellAnchor>
    <xdr:from>
      <xdr:col>4</xdr:col>
      <xdr:colOff>104775</xdr:colOff>
      <xdr:row>44</xdr:row>
      <xdr:rowOff>466725</xdr:rowOff>
    </xdr:from>
    <xdr:ext cx="1371600" cy="276225"/>
    <xdr:pic>
      <xdr:nvPicPr>
        <xdr:cNvPr id="0" name="image1.png" title="Image"/>
        <xdr:cNvPicPr preferRelativeResize="0"/>
      </xdr:nvPicPr>
      <xdr:blipFill>
        <a:blip cstate="print" r:embed="rId4"/>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ables/table1.xml><?xml version="1.0" encoding="utf-8"?>
<table xmlns="http://schemas.openxmlformats.org/spreadsheetml/2006/main" ref="A10:H78" displayName="Group_Heuristic_Evaluations" name="Group_Heuristic_Evaluations" id="1">
  <autoFilter ref="$A$10:$H$78"/>
  <tableColumns count="8">
    <tableColumn name="Problem #" id="1"/>
    <tableColumn name="Heuristic " id="2"/>
    <tableColumn name="Task" id="3"/>
    <tableColumn name="Severity" id="4"/>
    <tableColumn name="Description" id="5"/>
    <tableColumn name="Rationale" id="6"/>
    <tableColumn name="Fix" id="7"/>
    <tableColumn name="Found by" id="8"/>
  </tableColumns>
  <tableStyleInfo name="Group Heuristic Evaluation-style" showColumnStripes="0" showFirstColumn="1" showLastColumn="1" showRowStripes="1"/>
</table>
</file>

<file path=xl/tables/table2.xml><?xml version="1.0" encoding="utf-8"?>
<table xmlns="http://schemas.openxmlformats.org/spreadsheetml/2006/main" headerRowCount="0" ref="J21:L21" displayName="Table_1" name="Table_1" id="2">
  <tableColumns count="3">
    <tableColumn name="Column1" id="1"/>
    <tableColumn name="Column2" id="2"/>
    <tableColumn name="Column3" id="3"/>
  </tableColumns>
  <tableStyleInfo name="Group Heuristic Evaluation-style 2" showColumnStripes="0" showFirstColumn="1" showLastColumn="1" showRowStripes="1"/>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4" Type="http://schemas.openxmlformats.org/officeDocument/2006/relationships/table" Target="../tables/table1.xml"/><Relationship Id="rId5" Type="http://schemas.openxmlformats.org/officeDocument/2006/relationships/table" Target="../tables/table2.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0" topLeftCell="A11" activePane="bottomLeft" state="frozen"/>
      <selection activeCell="B12" sqref="B12" pane="bottomLeft"/>
    </sheetView>
  </sheetViews>
  <sheetFormatPr customHeight="1" defaultColWidth="12.63" defaultRowHeight="15.75"/>
  <cols>
    <col customWidth="1" min="1" max="1" width="13.25"/>
    <col customWidth="1" min="2" max="2" width="30.13"/>
    <col customWidth="1" min="3" max="10" width="22.63"/>
    <col customWidth="1" min="11" max="11" width="15.13"/>
  </cols>
  <sheetData>
    <row r="1">
      <c r="A1" s="1" t="s">
        <v>0</v>
      </c>
      <c r="B1" s="2" t="s">
        <v>1</v>
      </c>
      <c r="F1" s="3"/>
      <c r="G1" s="3"/>
    </row>
    <row r="2">
      <c r="A2" s="3"/>
      <c r="B2" s="3"/>
      <c r="C2" s="3"/>
      <c r="D2" s="3"/>
      <c r="E2" s="3"/>
      <c r="F2" s="3"/>
      <c r="G2" s="3"/>
    </row>
    <row r="3">
      <c r="A3" s="3"/>
      <c r="B3" s="3"/>
      <c r="C3" s="3"/>
      <c r="D3" s="4"/>
      <c r="F3" s="3"/>
      <c r="G3" s="3"/>
    </row>
    <row r="4">
      <c r="A4" s="5" t="s">
        <v>2</v>
      </c>
      <c r="B4" s="4" t="s">
        <v>3</v>
      </c>
      <c r="C4" s="4"/>
      <c r="D4" s="6"/>
      <c r="E4" s="4"/>
      <c r="F4" s="3"/>
      <c r="G4" s="3"/>
    </row>
    <row r="5">
      <c r="A5" s="5" t="s">
        <v>4</v>
      </c>
      <c r="B5" s="4" t="s">
        <v>5</v>
      </c>
      <c r="C5" s="4"/>
      <c r="D5" s="6"/>
      <c r="E5" s="4"/>
      <c r="F5" s="3"/>
      <c r="G5" s="3"/>
    </row>
    <row r="6">
      <c r="A6" s="5" t="s">
        <v>6</v>
      </c>
      <c r="B6" s="4" t="s">
        <v>7</v>
      </c>
      <c r="C6" s="4"/>
      <c r="D6" s="6"/>
      <c r="E6" s="4"/>
      <c r="F6" s="3"/>
      <c r="G6" s="3"/>
    </row>
    <row r="7">
      <c r="A7" s="3"/>
      <c r="B7" s="3"/>
      <c r="C7" s="3"/>
      <c r="D7" s="6"/>
      <c r="E7" s="4"/>
      <c r="F7" s="3"/>
      <c r="G7" s="3"/>
    </row>
    <row r="8">
      <c r="A8" s="3"/>
      <c r="B8" s="3"/>
      <c r="C8" s="3"/>
      <c r="D8" s="3"/>
      <c r="E8" s="3"/>
      <c r="F8" s="3"/>
      <c r="G8" s="3"/>
    </row>
    <row r="9">
      <c r="A9" s="3"/>
      <c r="B9" s="3"/>
      <c r="C9" s="3"/>
      <c r="D9" s="3"/>
      <c r="E9" s="4" t="s">
        <v>8</v>
      </c>
      <c r="F9" s="3"/>
      <c r="G9" s="3"/>
    </row>
    <row r="10">
      <c r="A10" s="7" t="s">
        <v>9</v>
      </c>
      <c r="B10" s="8" t="s">
        <v>10</v>
      </c>
      <c r="C10" s="8" t="s">
        <v>11</v>
      </c>
      <c r="D10" s="8" t="s">
        <v>12</v>
      </c>
      <c r="E10" s="8" t="s">
        <v>13</v>
      </c>
      <c r="F10" s="8" t="s">
        <v>14</v>
      </c>
      <c r="G10" s="8" t="s">
        <v>15</v>
      </c>
      <c r="H10" s="9" t="s">
        <v>16</v>
      </c>
    </row>
    <row r="11">
      <c r="A11" s="10">
        <f t="shared" ref="A11:A43" si="1">ROW() - 10</f>
        <v>1</v>
      </c>
      <c r="B11" s="11" t="s">
        <v>17</v>
      </c>
      <c r="C11" s="11" t="s">
        <v>18</v>
      </c>
      <c r="D11" s="12">
        <v>3.0</v>
      </c>
      <c r="E11" s="13" t="s">
        <v>19</v>
      </c>
      <c r="F11" s="14" t="s">
        <v>20</v>
      </c>
      <c r="G11" s="14" t="s">
        <v>21</v>
      </c>
      <c r="H11" s="15" t="s">
        <v>22</v>
      </c>
      <c r="K11" s="16" t="s">
        <v>23</v>
      </c>
      <c r="M11" s="16" t="s">
        <v>24</v>
      </c>
    </row>
    <row r="12">
      <c r="A12" s="17">
        <f t="shared" si="1"/>
        <v>2</v>
      </c>
      <c r="B12" s="18" t="s">
        <v>25</v>
      </c>
      <c r="C12" s="18" t="s">
        <v>18</v>
      </c>
      <c r="D12" s="19">
        <v>1.0</v>
      </c>
      <c r="E12" s="20" t="s">
        <v>26</v>
      </c>
      <c r="F12" s="21" t="s">
        <v>27</v>
      </c>
      <c r="G12" s="22" t="s">
        <v>28</v>
      </c>
      <c r="H12" s="23" t="s">
        <v>29</v>
      </c>
    </row>
    <row r="13">
      <c r="A13" s="10">
        <f t="shared" si="1"/>
        <v>3</v>
      </c>
      <c r="B13" s="11" t="s">
        <v>30</v>
      </c>
      <c r="C13" s="11" t="s">
        <v>18</v>
      </c>
      <c r="D13" s="12">
        <v>3.0</v>
      </c>
      <c r="E13" s="13" t="s">
        <v>31</v>
      </c>
      <c r="F13" s="14" t="s">
        <v>32</v>
      </c>
      <c r="G13" s="24" t="s">
        <v>33</v>
      </c>
      <c r="H13" s="15" t="s">
        <v>22</v>
      </c>
    </row>
    <row r="14">
      <c r="A14" s="17">
        <f t="shared" si="1"/>
        <v>4</v>
      </c>
      <c r="B14" s="25" t="s">
        <v>30</v>
      </c>
      <c r="C14" s="25" t="s">
        <v>18</v>
      </c>
      <c r="D14" s="26">
        <v>3.0</v>
      </c>
      <c r="E14" s="27" t="s">
        <v>34</v>
      </c>
      <c r="F14" s="28" t="s">
        <v>35</v>
      </c>
      <c r="G14" s="28" t="s">
        <v>36</v>
      </c>
      <c r="H14" s="23" t="s">
        <v>22</v>
      </c>
    </row>
    <row r="15">
      <c r="A15" s="10">
        <f t="shared" si="1"/>
        <v>5</v>
      </c>
      <c r="B15" s="11" t="s">
        <v>37</v>
      </c>
      <c r="C15" s="11" t="s">
        <v>18</v>
      </c>
      <c r="D15" s="29">
        <v>4.0</v>
      </c>
      <c r="E15" s="13" t="s">
        <v>38</v>
      </c>
      <c r="F15" s="14" t="s">
        <v>39</v>
      </c>
      <c r="G15" s="14" t="s">
        <v>40</v>
      </c>
      <c r="H15" s="15" t="s">
        <v>29</v>
      </c>
    </row>
    <row r="16">
      <c r="A16" s="17">
        <f t="shared" si="1"/>
        <v>6</v>
      </c>
      <c r="B16" s="18" t="s">
        <v>41</v>
      </c>
      <c r="C16" s="18" t="s">
        <v>18</v>
      </c>
      <c r="D16" s="30">
        <v>4.0</v>
      </c>
      <c r="E16" s="13" t="s">
        <v>42</v>
      </c>
      <c r="F16" s="14" t="s">
        <v>43</v>
      </c>
      <c r="G16" s="31" t="s">
        <v>44</v>
      </c>
      <c r="H16" s="23" t="s">
        <v>29</v>
      </c>
    </row>
    <row r="17">
      <c r="A17" s="10">
        <f t="shared" si="1"/>
        <v>7</v>
      </c>
      <c r="B17" s="11" t="s">
        <v>41</v>
      </c>
      <c r="C17" s="11" t="s">
        <v>18</v>
      </c>
      <c r="D17" s="32">
        <v>1.0</v>
      </c>
      <c r="E17" s="20" t="s">
        <v>45</v>
      </c>
      <c r="F17" s="21" t="s">
        <v>46</v>
      </c>
      <c r="G17" s="33" t="s">
        <v>47</v>
      </c>
      <c r="H17" s="15" t="s">
        <v>22</v>
      </c>
    </row>
    <row r="18">
      <c r="A18" s="17">
        <f t="shared" si="1"/>
        <v>8</v>
      </c>
      <c r="B18" s="34" t="s">
        <v>48</v>
      </c>
      <c r="C18" s="35" t="s">
        <v>18</v>
      </c>
      <c r="D18" s="35">
        <v>3.0</v>
      </c>
      <c r="E18" s="36" t="s">
        <v>49</v>
      </c>
      <c r="F18" s="37" t="s">
        <v>50</v>
      </c>
      <c r="G18" s="38" t="s">
        <v>51</v>
      </c>
      <c r="H18" s="23" t="s">
        <v>52</v>
      </c>
    </row>
    <row r="19">
      <c r="A19" s="10">
        <f t="shared" si="1"/>
        <v>9</v>
      </c>
      <c r="B19" s="34" t="s">
        <v>53</v>
      </c>
      <c r="C19" s="35" t="s">
        <v>18</v>
      </c>
      <c r="D19" s="35">
        <v>4.0</v>
      </c>
      <c r="E19" s="36" t="s">
        <v>54</v>
      </c>
      <c r="F19" s="37" t="s">
        <v>55</v>
      </c>
      <c r="G19" s="38" t="s">
        <v>56</v>
      </c>
      <c r="H19" s="15" t="s">
        <v>57</v>
      </c>
    </row>
    <row r="20">
      <c r="A20" s="17">
        <f t="shared" si="1"/>
        <v>10</v>
      </c>
      <c r="B20" s="18" t="s">
        <v>53</v>
      </c>
      <c r="C20" s="18" t="s">
        <v>18</v>
      </c>
      <c r="D20" s="39">
        <v>2.0</v>
      </c>
      <c r="E20" s="20" t="s">
        <v>58</v>
      </c>
      <c r="F20" s="21" t="s">
        <v>59</v>
      </c>
      <c r="G20" s="33" t="s">
        <v>60</v>
      </c>
      <c r="H20" s="23" t="s">
        <v>22</v>
      </c>
    </row>
    <row r="21">
      <c r="A21" s="10">
        <f t="shared" si="1"/>
        <v>11</v>
      </c>
      <c r="B21" s="34" t="s">
        <v>61</v>
      </c>
      <c r="C21" s="35" t="s">
        <v>18</v>
      </c>
      <c r="D21" s="35">
        <v>4.0</v>
      </c>
      <c r="E21" s="40" t="s">
        <v>62</v>
      </c>
      <c r="F21" s="41" t="s">
        <v>63</v>
      </c>
      <c r="G21" s="38" t="s">
        <v>64</v>
      </c>
      <c r="H21" s="15" t="s">
        <v>65</v>
      </c>
    </row>
    <row r="22">
      <c r="A22" s="17">
        <f t="shared" si="1"/>
        <v>12</v>
      </c>
      <c r="B22" s="25" t="s">
        <v>61</v>
      </c>
      <c r="C22" s="25" t="s">
        <v>18</v>
      </c>
      <c r="D22" s="42">
        <v>3.0</v>
      </c>
      <c r="E22" s="43" t="s">
        <v>66</v>
      </c>
      <c r="F22" s="28" t="s">
        <v>67</v>
      </c>
      <c r="G22" s="44" t="s">
        <v>68</v>
      </c>
      <c r="H22" s="23" t="s">
        <v>22</v>
      </c>
    </row>
    <row r="23">
      <c r="A23" s="10">
        <f t="shared" si="1"/>
        <v>13</v>
      </c>
      <c r="B23" s="34" t="s">
        <v>69</v>
      </c>
      <c r="C23" s="35" t="s">
        <v>18</v>
      </c>
      <c r="D23" s="35">
        <v>2.0</v>
      </c>
      <c r="E23" s="45" t="s">
        <v>70</v>
      </c>
      <c r="F23" s="24" t="s">
        <v>71</v>
      </c>
      <c r="G23" s="46" t="s">
        <v>72</v>
      </c>
      <c r="H23" s="15" t="s">
        <v>73</v>
      </c>
    </row>
    <row r="24">
      <c r="A24" s="17">
        <f t="shared" si="1"/>
        <v>14</v>
      </c>
      <c r="B24" s="11" t="s">
        <v>69</v>
      </c>
      <c r="C24" s="11" t="s">
        <v>18</v>
      </c>
      <c r="D24" s="47">
        <v>3.0</v>
      </c>
      <c r="E24" s="48" t="s">
        <v>74</v>
      </c>
      <c r="F24" s="49" t="s">
        <v>75</v>
      </c>
      <c r="G24" s="50" t="s">
        <v>76</v>
      </c>
      <c r="H24" s="23" t="s">
        <v>22</v>
      </c>
    </row>
    <row r="25">
      <c r="A25" s="10">
        <f t="shared" si="1"/>
        <v>15</v>
      </c>
      <c r="B25" s="51" t="s">
        <v>69</v>
      </c>
      <c r="C25" s="51" t="s">
        <v>18</v>
      </c>
      <c r="D25" s="52">
        <v>4.0</v>
      </c>
      <c r="E25" s="53" t="s">
        <v>77</v>
      </c>
      <c r="F25" s="54" t="s">
        <v>78</v>
      </c>
      <c r="G25" s="55" t="s">
        <v>79</v>
      </c>
      <c r="H25" s="15" t="s">
        <v>22</v>
      </c>
    </row>
    <row r="26">
      <c r="A26" s="17">
        <f t="shared" si="1"/>
        <v>16</v>
      </c>
      <c r="B26" s="25" t="s">
        <v>69</v>
      </c>
      <c r="C26" s="25" t="s">
        <v>18</v>
      </c>
      <c r="D26" s="56">
        <v>1.0</v>
      </c>
      <c r="E26" s="43" t="s">
        <v>80</v>
      </c>
      <c r="F26" s="28" t="s">
        <v>81</v>
      </c>
      <c r="G26" s="44" t="s">
        <v>82</v>
      </c>
      <c r="H26" s="23" t="s">
        <v>22</v>
      </c>
    </row>
    <row r="27">
      <c r="A27" s="10">
        <f t="shared" si="1"/>
        <v>17</v>
      </c>
      <c r="B27" s="57" t="s">
        <v>83</v>
      </c>
      <c r="C27" s="58" t="s">
        <v>18</v>
      </c>
      <c r="D27" s="58">
        <v>1.0</v>
      </c>
      <c r="E27" s="59" t="s">
        <v>84</v>
      </c>
      <c r="F27" s="60" t="s">
        <v>85</v>
      </c>
      <c r="G27" s="61" t="s">
        <v>86</v>
      </c>
      <c r="H27" s="15" t="s">
        <v>87</v>
      </c>
    </row>
    <row r="28">
      <c r="A28" s="17">
        <f t="shared" si="1"/>
        <v>18</v>
      </c>
      <c r="B28" s="57" t="s">
        <v>83</v>
      </c>
      <c r="C28" s="58" t="s">
        <v>18</v>
      </c>
      <c r="D28" s="58">
        <v>2.0</v>
      </c>
      <c r="E28" s="62" t="s">
        <v>88</v>
      </c>
      <c r="F28" s="63" t="s">
        <v>89</v>
      </c>
      <c r="G28" s="64" t="s">
        <v>90</v>
      </c>
      <c r="H28" s="23" t="s">
        <v>91</v>
      </c>
    </row>
    <row r="29">
      <c r="A29" s="10">
        <f t="shared" si="1"/>
        <v>19</v>
      </c>
      <c r="B29" s="51" t="s">
        <v>83</v>
      </c>
      <c r="C29" s="51" t="s">
        <v>18</v>
      </c>
      <c r="D29" s="65">
        <v>2.0</v>
      </c>
      <c r="E29" s="53" t="s">
        <v>92</v>
      </c>
      <c r="F29" s="54" t="s">
        <v>93</v>
      </c>
      <c r="G29" s="55" t="s">
        <v>94</v>
      </c>
      <c r="H29" s="15" t="s">
        <v>29</v>
      </c>
    </row>
    <row r="30">
      <c r="A30" s="17">
        <f t="shared" si="1"/>
        <v>20</v>
      </c>
      <c r="B30" s="57" t="s">
        <v>95</v>
      </c>
      <c r="C30" s="58" t="s">
        <v>18</v>
      </c>
      <c r="D30" s="58">
        <v>3.0</v>
      </c>
      <c r="E30" s="59" t="s">
        <v>96</v>
      </c>
      <c r="F30" s="60" t="s">
        <v>97</v>
      </c>
      <c r="G30" s="61" t="s">
        <v>98</v>
      </c>
      <c r="H30" s="23" t="s">
        <v>99</v>
      </c>
    </row>
    <row r="31">
      <c r="A31" s="10">
        <f t="shared" si="1"/>
        <v>21</v>
      </c>
      <c r="B31" s="18" t="s">
        <v>25</v>
      </c>
      <c r="C31" s="18" t="s">
        <v>100</v>
      </c>
      <c r="D31" s="30">
        <v>4.0</v>
      </c>
      <c r="E31" s="20" t="s">
        <v>101</v>
      </c>
      <c r="F31" s="21" t="s">
        <v>102</v>
      </c>
      <c r="G31" s="33" t="s">
        <v>103</v>
      </c>
      <c r="H31" s="15" t="s">
        <v>104</v>
      </c>
    </row>
    <row r="32">
      <c r="A32" s="17">
        <f t="shared" si="1"/>
        <v>22</v>
      </c>
      <c r="B32" s="25" t="s">
        <v>41</v>
      </c>
      <c r="C32" s="66" t="s">
        <v>100</v>
      </c>
      <c r="D32" s="67">
        <v>3.0</v>
      </c>
      <c r="E32" s="62" t="s">
        <v>105</v>
      </c>
      <c r="F32" s="63" t="s">
        <v>106</v>
      </c>
      <c r="G32" s="68" t="s">
        <v>107</v>
      </c>
      <c r="H32" s="23" t="s">
        <v>108</v>
      </c>
    </row>
    <row r="33">
      <c r="A33" s="10">
        <f t="shared" si="1"/>
        <v>23</v>
      </c>
      <c r="B33" s="11" t="s">
        <v>48</v>
      </c>
      <c r="C33" s="69" t="s">
        <v>100</v>
      </c>
      <c r="D33" s="29">
        <v>4.0</v>
      </c>
      <c r="E33" s="45" t="s">
        <v>109</v>
      </c>
      <c r="F33" s="24" t="s">
        <v>110</v>
      </c>
      <c r="G33" s="24" t="s">
        <v>111</v>
      </c>
      <c r="H33" s="15" t="s">
        <v>112</v>
      </c>
    </row>
    <row r="34">
      <c r="A34" s="17">
        <f t="shared" si="1"/>
        <v>24</v>
      </c>
      <c r="B34" s="18" t="s">
        <v>53</v>
      </c>
      <c r="C34" s="18" t="s">
        <v>100</v>
      </c>
      <c r="D34" s="30">
        <v>4.0</v>
      </c>
      <c r="E34" s="70" t="s">
        <v>113</v>
      </c>
      <c r="F34" s="71" t="s">
        <v>114</v>
      </c>
      <c r="G34" s="71" t="s">
        <v>115</v>
      </c>
      <c r="H34" s="23" t="s">
        <v>99</v>
      </c>
    </row>
    <row r="35">
      <c r="A35" s="10">
        <f t="shared" si="1"/>
        <v>25</v>
      </c>
      <c r="B35" s="51" t="s">
        <v>53</v>
      </c>
      <c r="C35" s="51" t="s">
        <v>100</v>
      </c>
      <c r="D35" s="72">
        <v>3.0</v>
      </c>
      <c r="E35" s="73" t="s">
        <v>116</v>
      </c>
      <c r="F35" s="74" t="s">
        <v>117</v>
      </c>
      <c r="G35" s="75" t="s">
        <v>118</v>
      </c>
      <c r="H35" s="15" t="s">
        <v>73</v>
      </c>
    </row>
    <row r="36">
      <c r="A36" s="17">
        <f t="shared" si="1"/>
        <v>26</v>
      </c>
      <c r="B36" s="25" t="s">
        <v>53</v>
      </c>
      <c r="C36" s="25" t="s">
        <v>100</v>
      </c>
      <c r="D36" s="56">
        <v>1.0</v>
      </c>
      <c r="E36" s="43" t="s">
        <v>119</v>
      </c>
      <c r="F36" s="28" t="s">
        <v>120</v>
      </c>
      <c r="G36" s="28" t="s">
        <v>121</v>
      </c>
      <c r="H36" s="23" t="s">
        <v>22</v>
      </c>
    </row>
    <row r="37">
      <c r="A37" s="10">
        <f t="shared" si="1"/>
        <v>27</v>
      </c>
      <c r="B37" s="76" t="s">
        <v>53</v>
      </c>
      <c r="C37" s="76" t="s">
        <v>100</v>
      </c>
      <c r="D37" s="77">
        <v>1.0</v>
      </c>
      <c r="E37" s="78" t="s">
        <v>122</v>
      </c>
      <c r="F37" s="79" t="s">
        <v>123</v>
      </c>
      <c r="G37" s="24" t="s">
        <v>124</v>
      </c>
      <c r="H37" s="80" t="s">
        <v>125</v>
      </c>
    </row>
    <row r="38">
      <c r="A38" s="17">
        <f t="shared" si="1"/>
        <v>28</v>
      </c>
      <c r="B38" s="18" t="s">
        <v>126</v>
      </c>
      <c r="C38" s="18" t="s">
        <v>100</v>
      </c>
      <c r="D38" s="30">
        <v>4.0</v>
      </c>
      <c r="E38" s="20" t="s">
        <v>127</v>
      </c>
      <c r="F38" s="21" t="s">
        <v>128</v>
      </c>
      <c r="G38" s="21" t="s">
        <v>129</v>
      </c>
      <c r="H38" s="23" t="s">
        <v>22</v>
      </c>
    </row>
    <row r="39">
      <c r="A39" s="10">
        <f t="shared" si="1"/>
        <v>29</v>
      </c>
      <c r="B39" s="51" t="s">
        <v>61</v>
      </c>
      <c r="C39" s="81" t="s">
        <v>100</v>
      </c>
      <c r="D39" s="65">
        <v>2.0</v>
      </c>
      <c r="E39" s="73" t="s">
        <v>130</v>
      </c>
      <c r="F39" s="74" t="s">
        <v>131</v>
      </c>
      <c r="G39" s="74" t="s">
        <v>132</v>
      </c>
      <c r="H39" s="15" t="s">
        <v>57</v>
      </c>
    </row>
    <row r="40">
      <c r="A40" s="17">
        <f t="shared" si="1"/>
        <v>30</v>
      </c>
      <c r="B40" s="25" t="s">
        <v>61</v>
      </c>
      <c r="C40" s="25" t="s">
        <v>100</v>
      </c>
      <c r="D40" s="82">
        <v>2.0</v>
      </c>
      <c r="E40" s="43" t="s">
        <v>133</v>
      </c>
      <c r="F40" s="28" t="s">
        <v>134</v>
      </c>
      <c r="G40" s="83" t="s">
        <v>135</v>
      </c>
      <c r="H40" s="23" t="s">
        <v>29</v>
      </c>
    </row>
    <row r="41">
      <c r="A41" s="10">
        <f t="shared" si="1"/>
        <v>31</v>
      </c>
      <c r="B41" s="11" t="s">
        <v>61</v>
      </c>
      <c r="C41" s="11" t="s">
        <v>100</v>
      </c>
      <c r="D41" s="47">
        <v>3.0</v>
      </c>
      <c r="E41" s="13" t="s">
        <v>136</v>
      </c>
      <c r="F41" s="49" t="s">
        <v>137</v>
      </c>
      <c r="G41" s="14" t="s">
        <v>138</v>
      </c>
      <c r="H41" s="15" t="s">
        <v>22</v>
      </c>
    </row>
    <row r="42">
      <c r="A42" s="17">
        <f t="shared" si="1"/>
        <v>32</v>
      </c>
      <c r="B42" s="11" t="s">
        <v>69</v>
      </c>
      <c r="C42" s="69" t="s">
        <v>100</v>
      </c>
      <c r="D42" s="47">
        <v>3.0</v>
      </c>
      <c r="E42" s="78" t="s">
        <v>139</v>
      </c>
      <c r="F42" s="84" t="s">
        <v>140</v>
      </c>
      <c r="G42" s="71" t="s">
        <v>141</v>
      </c>
      <c r="H42" s="23" t="s">
        <v>91</v>
      </c>
    </row>
    <row r="43">
      <c r="A43" s="10">
        <f t="shared" si="1"/>
        <v>33</v>
      </c>
      <c r="B43" s="18" t="s">
        <v>69</v>
      </c>
      <c r="C43" s="18" t="s">
        <v>100</v>
      </c>
      <c r="D43" s="39">
        <v>2.0</v>
      </c>
      <c r="E43" s="20" t="s">
        <v>142</v>
      </c>
      <c r="F43" s="85" t="s">
        <v>143</v>
      </c>
      <c r="G43" s="14" t="s">
        <v>144</v>
      </c>
      <c r="H43" s="15" t="s">
        <v>22</v>
      </c>
    </row>
    <row r="44">
      <c r="A44" s="86">
        <f>ROW() - 8</f>
        <v>36</v>
      </c>
      <c r="B44" s="87" t="s">
        <v>69</v>
      </c>
      <c r="C44" s="87" t="s">
        <v>100</v>
      </c>
      <c r="D44" s="88">
        <v>3.0</v>
      </c>
      <c r="E44" s="73" t="s">
        <v>145</v>
      </c>
      <c r="F44" s="89" t="s">
        <v>146</v>
      </c>
      <c r="G44" s="63" t="s">
        <v>147</v>
      </c>
      <c r="H44" s="90" t="s">
        <v>125</v>
      </c>
    </row>
    <row r="45">
      <c r="A45" s="10">
        <f t="shared" ref="A45:A51" si="2">ROW() - 10</f>
        <v>35</v>
      </c>
      <c r="B45" s="51" t="s">
        <v>83</v>
      </c>
      <c r="C45" s="51" t="s">
        <v>100</v>
      </c>
      <c r="D45" s="91">
        <v>1.0</v>
      </c>
      <c r="E45" s="53" t="s">
        <v>148</v>
      </c>
      <c r="F45" s="54" t="s">
        <v>149</v>
      </c>
      <c r="G45" s="92" t="s">
        <v>150</v>
      </c>
      <c r="H45" s="15" t="s">
        <v>22</v>
      </c>
    </row>
    <row r="46">
      <c r="A46" s="17">
        <f t="shared" si="2"/>
        <v>36</v>
      </c>
      <c r="B46" s="25" t="s">
        <v>17</v>
      </c>
      <c r="C46" s="25" t="s">
        <v>151</v>
      </c>
      <c r="D46" s="82">
        <v>2.0</v>
      </c>
      <c r="E46" s="62" t="s">
        <v>152</v>
      </c>
      <c r="F46" s="63" t="s">
        <v>153</v>
      </c>
      <c r="G46" s="63" t="s">
        <v>154</v>
      </c>
      <c r="H46" s="23" t="s">
        <v>155</v>
      </c>
    </row>
    <row r="47">
      <c r="A47" s="10">
        <f t="shared" si="2"/>
        <v>37</v>
      </c>
      <c r="B47" s="51" t="s">
        <v>17</v>
      </c>
      <c r="C47" s="51" t="s">
        <v>151</v>
      </c>
      <c r="D47" s="72">
        <v>3.0</v>
      </c>
      <c r="E47" s="53" t="s">
        <v>156</v>
      </c>
      <c r="F47" s="54" t="s">
        <v>157</v>
      </c>
      <c r="G47" s="54" t="s">
        <v>158</v>
      </c>
      <c r="H47" s="15" t="s">
        <v>22</v>
      </c>
    </row>
    <row r="48">
      <c r="A48" s="17">
        <f t="shared" si="2"/>
        <v>38</v>
      </c>
      <c r="B48" s="57" t="s">
        <v>37</v>
      </c>
      <c r="C48" s="57" t="s">
        <v>151</v>
      </c>
      <c r="D48" s="57">
        <v>2.0</v>
      </c>
      <c r="E48" s="93" t="s">
        <v>159</v>
      </c>
      <c r="F48" s="94" t="s">
        <v>160</v>
      </c>
      <c r="G48" s="94" t="s">
        <v>161</v>
      </c>
      <c r="H48" s="95" t="s">
        <v>52</v>
      </c>
    </row>
    <row r="49">
      <c r="A49" s="10">
        <f t="shared" si="2"/>
        <v>39</v>
      </c>
      <c r="B49" s="11" t="s">
        <v>41</v>
      </c>
      <c r="C49" s="11" t="s">
        <v>151</v>
      </c>
      <c r="D49" s="47">
        <v>3.0</v>
      </c>
      <c r="E49" s="96" t="s">
        <v>162</v>
      </c>
      <c r="F49" s="79" t="s">
        <v>163</v>
      </c>
      <c r="G49" s="79" t="s">
        <v>164</v>
      </c>
      <c r="H49" s="15" t="s">
        <v>165</v>
      </c>
    </row>
    <row r="50">
      <c r="A50" s="17">
        <f t="shared" si="2"/>
        <v>40</v>
      </c>
      <c r="B50" s="97" t="s">
        <v>41</v>
      </c>
      <c r="C50" s="97" t="s">
        <v>151</v>
      </c>
      <c r="D50" s="98">
        <v>2.0</v>
      </c>
      <c r="E50" s="62" t="s">
        <v>166</v>
      </c>
      <c r="F50" s="63" t="s">
        <v>167</v>
      </c>
      <c r="G50" s="63" t="s">
        <v>168</v>
      </c>
      <c r="H50" s="90" t="s">
        <v>125</v>
      </c>
    </row>
    <row r="51">
      <c r="A51" s="10">
        <f t="shared" si="2"/>
        <v>41</v>
      </c>
      <c r="B51" s="76" t="s">
        <v>41</v>
      </c>
      <c r="C51" s="76" t="s">
        <v>151</v>
      </c>
      <c r="D51" s="99">
        <v>3.0</v>
      </c>
      <c r="E51" s="45" t="s">
        <v>169</v>
      </c>
      <c r="F51" s="24" t="s">
        <v>170</v>
      </c>
      <c r="G51" s="24" t="s">
        <v>171</v>
      </c>
      <c r="H51" s="80" t="s">
        <v>125</v>
      </c>
    </row>
    <row r="52">
      <c r="A52" s="100">
        <f>ROW() - 8</f>
        <v>44</v>
      </c>
      <c r="B52" s="76" t="s">
        <v>41</v>
      </c>
      <c r="C52" s="76" t="s">
        <v>151</v>
      </c>
      <c r="D52" s="77">
        <v>1.0</v>
      </c>
      <c r="E52" s="45" t="s">
        <v>172</v>
      </c>
      <c r="F52" s="84" t="s">
        <v>173</v>
      </c>
      <c r="G52" s="101" t="s">
        <v>174</v>
      </c>
      <c r="H52" s="90" t="s">
        <v>125</v>
      </c>
    </row>
    <row r="53">
      <c r="A53" s="10">
        <f>ROW() - 10</f>
        <v>43</v>
      </c>
      <c r="B53" s="25" t="s">
        <v>48</v>
      </c>
      <c r="C53" s="25" t="s">
        <v>151</v>
      </c>
      <c r="D53" s="102">
        <v>4.0</v>
      </c>
      <c r="E53" s="43" t="s">
        <v>175</v>
      </c>
      <c r="F53" s="103" t="s">
        <v>176</v>
      </c>
      <c r="G53" s="92" t="s">
        <v>177</v>
      </c>
      <c r="H53" s="15" t="s">
        <v>29</v>
      </c>
    </row>
    <row r="54">
      <c r="A54" s="86">
        <f>ROW() - 8</f>
        <v>46</v>
      </c>
      <c r="B54" s="97" t="s">
        <v>48</v>
      </c>
      <c r="C54" s="97" t="s">
        <v>151</v>
      </c>
      <c r="D54" s="104">
        <v>4.0</v>
      </c>
      <c r="E54" s="62" t="s">
        <v>178</v>
      </c>
      <c r="F54" s="63" t="s">
        <v>179</v>
      </c>
      <c r="G54" s="63" t="s">
        <v>180</v>
      </c>
      <c r="H54" s="90" t="s">
        <v>125</v>
      </c>
    </row>
    <row r="55">
      <c r="A55" s="10">
        <f t="shared" ref="A55:A58" si="3">ROW() - 10</f>
        <v>45</v>
      </c>
      <c r="B55" s="51" t="s">
        <v>53</v>
      </c>
      <c r="C55" s="51" t="s">
        <v>151</v>
      </c>
      <c r="D55" s="52">
        <v>4.0</v>
      </c>
      <c r="E55" s="53" t="s">
        <v>181</v>
      </c>
      <c r="F55" s="54" t="s">
        <v>182</v>
      </c>
      <c r="G55" s="54" t="s">
        <v>183</v>
      </c>
      <c r="H55" s="15" t="s">
        <v>22</v>
      </c>
    </row>
    <row r="56">
      <c r="A56" s="17">
        <f t="shared" si="3"/>
        <v>46</v>
      </c>
      <c r="B56" s="11" t="s">
        <v>53</v>
      </c>
      <c r="C56" s="11" t="s">
        <v>151</v>
      </c>
      <c r="D56" s="47">
        <v>3.0</v>
      </c>
      <c r="E56" s="13" t="s">
        <v>184</v>
      </c>
      <c r="F56" s="105" t="s">
        <v>185</v>
      </c>
      <c r="G56" s="21" t="s">
        <v>186</v>
      </c>
      <c r="H56" s="23" t="s">
        <v>22</v>
      </c>
    </row>
    <row r="57">
      <c r="A57" s="10">
        <f t="shared" si="3"/>
        <v>47</v>
      </c>
      <c r="B57" s="25" t="s">
        <v>126</v>
      </c>
      <c r="C57" s="106" t="s">
        <v>151</v>
      </c>
      <c r="D57" s="107">
        <v>2.0</v>
      </c>
      <c r="E57" s="108" t="s">
        <v>187</v>
      </c>
      <c r="F57" s="109" t="s">
        <v>188</v>
      </c>
      <c r="G57" s="75" t="s">
        <v>189</v>
      </c>
      <c r="H57" s="15" t="s">
        <v>190</v>
      </c>
    </row>
    <row r="58">
      <c r="A58" s="17">
        <f t="shared" si="3"/>
        <v>48</v>
      </c>
      <c r="B58" s="11" t="s">
        <v>126</v>
      </c>
      <c r="C58" s="11" t="s">
        <v>151</v>
      </c>
      <c r="D58" s="110">
        <v>2.0</v>
      </c>
      <c r="E58" s="13" t="s">
        <v>191</v>
      </c>
      <c r="F58" s="111" t="s">
        <v>192</v>
      </c>
      <c r="G58" s="21" t="s">
        <v>193</v>
      </c>
      <c r="H58" s="23" t="s">
        <v>22</v>
      </c>
    </row>
    <row r="59">
      <c r="A59" s="112">
        <f>ROW() - 8</f>
        <v>51</v>
      </c>
      <c r="B59" s="87" t="s">
        <v>126</v>
      </c>
      <c r="C59" s="87" t="s">
        <v>151</v>
      </c>
      <c r="D59" s="113">
        <v>2.0</v>
      </c>
      <c r="E59" s="73" t="s">
        <v>194</v>
      </c>
      <c r="F59" s="74" t="s">
        <v>195</v>
      </c>
      <c r="G59" s="74" t="s">
        <v>196</v>
      </c>
      <c r="H59" s="80" t="s">
        <v>125</v>
      </c>
    </row>
    <row r="60">
      <c r="A60" s="17">
        <f t="shared" ref="A60:A62" si="4">ROW() - 10</f>
        <v>50</v>
      </c>
      <c r="B60" s="25" t="s">
        <v>69</v>
      </c>
      <c r="C60" s="25" t="s">
        <v>151</v>
      </c>
      <c r="D60" s="26">
        <v>3.0</v>
      </c>
      <c r="E60" s="43" t="s">
        <v>197</v>
      </c>
      <c r="F60" s="28" t="s">
        <v>198</v>
      </c>
      <c r="G60" s="28" t="s">
        <v>199</v>
      </c>
      <c r="H60" s="23" t="s">
        <v>22</v>
      </c>
    </row>
    <row r="61">
      <c r="A61" s="10">
        <f t="shared" si="4"/>
        <v>51</v>
      </c>
      <c r="B61" s="11" t="s">
        <v>69</v>
      </c>
      <c r="C61" s="11" t="s">
        <v>151</v>
      </c>
      <c r="D61" s="29">
        <v>4.0</v>
      </c>
      <c r="E61" s="13" t="s">
        <v>200</v>
      </c>
      <c r="F61" s="14" t="s">
        <v>201</v>
      </c>
      <c r="G61" s="14" t="s">
        <v>202</v>
      </c>
      <c r="H61" s="15" t="s">
        <v>22</v>
      </c>
    </row>
    <row r="62">
      <c r="A62" s="17">
        <f t="shared" si="4"/>
        <v>52</v>
      </c>
      <c r="B62" s="25" t="s">
        <v>83</v>
      </c>
      <c r="C62" s="66" t="s">
        <v>151</v>
      </c>
      <c r="D62" s="26">
        <v>3.0</v>
      </c>
      <c r="E62" s="114" t="s">
        <v>203</v>
      </c>
      <c r="F62" s="68" t="s">
        <v>204</v>
      </c>
      <c r="G62" s="68" t="s">
        <v>205</v>
      </c>
      <c r="H62" s="23" t="s">
        <v>155</v>
      </c>
    </row>
    <row r="63">
      <c r="A63" s="112">
        <f>ROW() - 8</f>
        <v>55</v>
      </c>
      <c r="B63" s="87" t="s">
        <v>83</v>
      </c>
      <c r="C63" s="87" t="s">
        <v>151</v>
      </c>
      <c r="D63" s="115">
        <v>1.0</v>
      </c>
      <c r="E63" s="73" t="s">
        <v>206</v>
      </c>
      <c r="F63" s="74" t="s">
        <v>207</v>
      </c>
      <c r="G63" s="116" t="s">
        <v>208</v>
      </c>
      <c r="H63" s="15" t="s">
        <v>125</v>
      </c>
    </row>
    <row r="64">
      <c r="A64" s="17">
        <f t="shared" ref="A64:A65" si="5">ROW() - 10</f>
        <v>54</v>
      </c>
      <c r="B64" s="18" t="s">
        <v>95</v>
      </c>
      <c r="C64" s="18" t="s">
        <v>151</v>
      </c>
      <c r="D64" s="39">
        <v>2.0</v>
      </c>
      <c r="E64" s="20" t="s">
        <v>209</v>
      </c>
      <c r="F64" s="21" t="s">
        <v>210</v>
      </c>
      <c r="G64" s="33" t="s">
        <v>211</v>
      </c>
      <c r="H64" s="23" t="s">
        <v>22</v>
      </c>
      <c r="I64" s="117"/>
      <c r="J64" s="117"/>
      <c r="K64" s="117"/>
      <c r="L64" s="117"/>
      <c r="M64" s="117"/>
      <c r="N64" s="117"/>
      <c r="O64" s="117"/>
      <c r="P64" s="117"/>
      <c r="Q64" s="117"/>
      <c r="R64" s="117"/>
      <c r="S64" s="117"/>
      <c r="T64" s="117"/>
      <c r="U64" s="117"/>
      <c r="V64" s="117"/>
      <c r="W64" s="117"/>
      <c r="X64" s="117"/>
      <c r="Y64" s="117"/>
      <c r="Z64" s="117"/>
      <c r="AA64" s="117"/>
      <c r="AB64" s="117"/>
      <c r="AC64" s="117"/>
      <c r="AD64" s="117"/>
      <c r="AE64" s="117"/>
    </row>
    <row r="65">
      <c r="A65" s="10">
        <f t="shared" si="5"/>
        <v>55</v>
      </c>
      <c r="B65" s="11" t="s">
        <v>25</v>
      </c>
      <c r="C65" s="11" t="s">
        <v>212</v>
      </c>
      <c r="D65" s="47">
        <v>3.0</v>
      </c>
      <c r="E65" s="78" t="s">
        <v>213</v>
      </c>
      <c r="F65" s="79" t="s">
        <v>214</v>
      </c>
      <c r="G65" s="118" t="s">
        <v>215</v>
      </c>
      <c r="H65" s="15" t="s">
        <v>155</v>
      </c>
      <c r="I65" s="117"/>
      <c r="J65" s="117"/>
      <c r="K65" s="117"/>
      <c r="L65" s="117"/>
      <c r="M65" s="117"/>
      <c r="N65" s="117"/>
      <c r="O65" s="117"/>
      <c r="P65" s="117"/>
      <c r="Q65" s="117"/>
      <c r="R65" s="117"/>
      <c r="S65" s="117"/>
      <c r="T65" s="117"/>
      <c r="U65" s="117"/>
      <c r="V65" s="117"/>
      <c r="W65" s="117"/>
      <c r="X65" s="117"/>
      <c r="Y65" s="117"/>
      <c r="Z65" s="117"/>
      <c r="AA65" s="117"/>
      <c r="AB65" s="117"/>
      <c r="AC65" s="117"/>
      <c r="AD65" s="117"/>
      <c r="AE65" s="117"/>
    </row>
    <row r="66">
      <c r="A66" s="100">
        <f>ROW() - 8</f>
        <v>58</v>
      </c>
      <c r="B66" s="76" t="s">
        <v>53</v>
      </c>
      <c r="C66" s="76" t="s">
        <v>212</v>
      </c>
      <c r="D66" s="77">
        <v>1.0</v>
      </c>
      <c r="E66" s="45" t="s">
        <v>216</v>
      </c>
      <c r="F66" s="24" t="s">
        <v>217</v>
      </c>
      <c r="G66" s="46" t="s">
        <v>218</v>
      </c>
      <c r="H66" s="90" t="s">
        <v>125</v>
      </c>
      <c r="I66" s="117"/>
      <c r="J66" s="117"/>
      <c r="K66" s="117"/>
      <c r="L66" s="117"/>
      <c r="M66" s="117"/>
      <c r="N66" s="117"/>
      <c r="O66" s="117"/>
      <c r="P66" s="117"/>
      <c r="Q66" s="117"/>
      <c r="R66" s="117"/>
      <c r="S66" s="117"/>
      <c r="T66" s="117"/>
      <c r="U66" s="117"/>
      <c r="V66" s="117"/>
      <c r="W66" s="117"/>
      <c r="X66" s="117"/>
      <c r="Y66" s="117"/>
      <c r="Z66" s="117"/>
      <c r="AA66" s="117"/>
      <c r="AB66" s="117"/>
      <c r="AC66" s="117"/>
      <c r="AD66" s="117"/>
      <c r="AE66" s="117"/>
    </row>
    <row r="67">
      <c r="A67" s="17">
        <f t="shared" ref="A67:A77" si="6">ROW() - 10</f>
        <v>57</v>
      </c>
      <c r="B67" s="25" t="s">
        <v>83</v>
      </c>
      <c r="C67" s="25" t="s">
        <v>212</v>
      </c>
      <c r="D67" s="82">
        <v>2.0</v>
      </c>
      <c r="E67" s="62" t="s">
        <v>219</v>
      </c>
      <c r="F67" s="63" t="s">
        <v>220</v>
      </c>
      <c r="G67" s="64" t="s">
        <v>221</v>
      </c>
      <c r="H67" s="15" t="s">
        <v>222</v>
      </c>
    </row>
    <row r="68">
      <c r="A68" s="17">
        <f t="shared" si="6"/>
        <v>58</v>
      </c>
      <c r="B68" s="18" t="s">
        <v>83</v>
      </c>
      <c r="C68" s="18" t="s">
        <v>212</v>
      </c>
      <c r="D68" s="39">
        <v>2.0</v>
      </c>
      <c r="E68" s="20" t="s">
        <v>223</v>
      </c>
      <c r="F68" s="21" t="s">
        <v>224</v>
      </c>
      <c r="G68" s="33" t="s">
        <v>225</v>
      </c>
      <c r="H68" s="23" t="s">
        <v>226</v>
      </c>
      <c r="I68" s="117"/>
      <c r="J68" s="117"/>
      <c r="K68" s="117"/>
      <c r="L68" s="117"/>
      <c r="M68" s="117"/>
      <c r="N68" s="117"/>
      <c r="O68" s="117"/>
      <c r="P68" s="117"/>
      <c r="Q68" s="117"/>
      <c r="R68" s="117"/>
      <c r="S68" s="117"/>
      <c r="T68" s="117"/>
      <c r="U68" s="117"/>
      <c r="V68" s="117"/>
      <c r="W68" s="117"/>
      <c r="X68" s="117"/>
      <c r="Y68" s="117"/>
      <c r="Z68" s="117"/>
      <c r="AA68" s="117"/>
      <c r="AB68" s="117"/>
      <c r="AC68" s="117"/>
      <c r="AD68" s="117"/>
      <c r="AE68" s="117"/>
    </row>
    <row r="69">
      <c r="A69" s="17">
        <f t="shared" si="6"/>
        <v>59</v>
      </c>
      <c r="B69" s="57" t="s">
        <v>17</v>
      </c>
      <c r="C69" s="106" t="s">
        <v>227</v>
      </c>
      <c r="D69" s="119">
        <v>4.0</v>
      </c>
      <c r="E69" s="62" t="s">
        <v>228</v>
      </c>
      <c r="F69" s="63" t="s">
        <v>229</v>
      </c>
      <c r="G69" s="120" t="s">
        <v>230</v>
      </c>
      <c r="H69" s="15" t="s">
        <v>165</v>
      </c>
      <c r="I69" s="117"/>
      <c r="J69" s="117"/>
      <c r="K69" s="117"/>
      <c r="L69" s="117"/>
      <c r="M69" s="117"/>
      <c r="N69" s="117"/>
      <c r="O69" s="117"/>
      <c r="P69" s="117"/>
      <c r="Q69" s="117"/>
      <c r="R69" s="117"/>
      <c r="S69" s="117"/>
      <c r="T69" s="117"/>
      <c r="U69" s="117"/>
      <c r="V69" s="117"/>
      <c r="W69" s="117"/>
      <c r="X69" s="117"/>
      <c r="Y69" s="117"/>
      <c r="Z69" s="117"/>
      <c r="AA69" s="117"/>
      <c r="AB69" s="117"/>
      <c r="AC69" s="117"/>
      <c r="AD69" s="117"/>
      <c r="AE69" s="117"/>
    </row>
    <row r="70">
      <c r="A70" s="10">
        <f t="shared" si="6"/>
        <v>60</v>
      </c>
      <c r="B70" s="11" t="s">
        <v>30</v>
      </c>
      <c r="C70" s="11" t="s">
        <v>227</v>
      </c>
      <c r="D70" s="47">
        <v>3.0</v>
      </c>
      <c r="E70" s="78" t="s">
        <v>231</v>
      </c>
      <c r="F70" s="24" t="s">
        <v>232</v>
      </c>
      <c r="G70" s="118" t="s">
        <v>233</v>
      </c>
      <c r="H70" s="23" t="s">
        <v>104</v>
      </c>
      <c r="I70" s="117"/>
      <c r="J70" s="117"/>
      <c r="K70" s="117"/>
      <c r="L70" s="117"/>
      <c r="M70" s="117"/>
      <c r="N70" s="117"/>
      <c r="O70" s="117"/>
      <c r="P70" s="117"/>
      <c r="Q70" s="117"/>
      <c r="R70" s="117"/>
      <c r="S70" s="117"/>
      <c r="T70" s="117"/>
      <c r="U70" s="117"/>
      <c r="V70" s="117"/>
      <c r="W70" s="117"/>
      <c r="X70" s="117"/>
      <c r="Y70" s="117"/>
      <c r="Z70" s="117"/>
      <c r="AA70" s="117"/>
      <c r="AB70" s="117"/>
      <c r="AC70" s="117"/>
      <c r="AD70" s="117"/>
      <c r="AE70" s="117"/>
    </row>
    <row r="71">
      <c r="A71" s="17">
        <f t="shared" si="6"/>
        <v>61</v>
      </c>
      <c r="B71" s="121" t="s">
        <v>41</v>
      </c>
      <c r="C71" s="121" t="s">
        <v>227</v>
      </c>
      <c r="D71" s="122">
        <v>2.0</v>
      </c>
      <c r="E71" s="70" t="s">
        <v>234</v>
      </c>
      <c r="F71" s="71" t="s">
        <v>235</v>
      </c>
      <c r="G71" s="123" t="s">
        <v>236</v>
      </c>
      <c r="H71" s="80" t="s">
        <v>29</v>
      </c>
      <c r="I71" s="117"/>
      <c r="J71" s="117"/>
      <c r="K71" s="117"/>
      <c r="L71" s="117"/>
      <c r="M71" s="117"/>
      <c r="N71" s="117"/>
      <c r="O71" s="117"/>
      <c r="P71" s="117"/>
      <c r="Q71" s="117"/>
      <c r="R71" s="117"/>
      <c r="S71" s="117"/>
      <c r="T71" s="117"/>
      <c r="U71" s="117"/>
      <c r="V71" s="117"/>
      <c r="W71" s="117"/>
      <c r="X71" s="117"/>
      <c r="Y71" s="117"/>
      <c r="Z71" s="117"/>
      <c r="AA71" s="117"/>
      <c r="AB71" s="117"/>
      <c r="AC71" s="117"/>
      <c r="AD71" s="117"/>
      <c r="AE71" s="117"/>
    </row>
    <row r="72">
      <c r="A72" s="10">
        <f t="shared" si="6"/>
        <v>62</v>
      </c>
      <c r="B72" s="51" t="s">
        <v>53</v>
      </c>
      <c r="C72" s="51" t="s">
        <v>227</v>
      </c>
      <c r="D72" s="65">
        <v>2.0</v>
      </c>
      <c r="E72" s="53" t="s">
        <v>237</v>
      </c>
      <c r="F72" s="54" t="s">
        <v>238</v>
      </c>
      <c r="G72" s="55" t="s">
        <v>239</v>
      </c>
      <c r="H72" s="23" t="s">
        <v>22</v>
      </c>
      <c r="I72" s="117"/>
      <c r="J72" s="117"/>
      <c r="K72" s="117"/>
      <c r="L72" s="117"/>
      <c r="M72" s="117"/>
      <c r="N72" s="117"/>
      <c r="O72" s="117"/>
      <c r="P72" s="117"/>
      <c r="Q72" s="117"/>
      <c r="R72" s="117"/>
      <c r="S72" s="117"/>
      <c r="T72" s="117"/>
      <c r="U72" s="117"/>
      <c r="V72" s="117"/>
      <c r="W72" s="117"/>
      <c r="X72" s="117"/>
      <c r="Y72" s="117"/>
      <c r="Z72" s="117"/>
      <c r="AA72" s="117"/>
      <c r="AB72" s="117"/>
      <c r="AC72" s="117"/>
      <c r="AD72" s="117"/>
      <c r="AE72" s="117"/>
    </row>
    <row r="73">
      <c r="A73" s="10">
        <f t="shared" si="6"/>
        <v>63</v>
      </c>
      <c r="B73" s="51"/>
      <c r="C73" s="51"/>
      <c r="D73" s="65"/>
      <c r="E73" s="53"/>
      <c r="F73" s="54"/>
      <c r="G73" s="54"/>
      <c r="H73" s="15"/>
    </row>
    <row r="74">
      <c r="A74" s="17">
        <f t="shared" si="6"/>
        <v>64</v>
      </c>
      <c r="B74" s="25"/>
      <c r="C74" s="25"/>
      <c r="D74" s="82"/>
      <c r="E74" s="43"/>
      <c r="F74" s="28"/>
      <c r="G74" s="28"/>
      <c r="H74" s="23"/>
    </row>
    <row r="75">
      <c r="A75" s="10">
        <f t="shared" si="6"/>
        <v>65</v>
      </c>
      <c r="B75" s="51"/>
      <c r="C75" s="51"/>
      <c r="D75" s="65"/>
      <c r="E75" s="53"/>
      <c r="F75" s="54"/>
      <c r="G75" s="54"/>
      <c r="H75" s="15"/>
    </row>
    <row r="76">
      <c r="A76" s="17">
        <f t="shared" si="6"/>
        <v>66</v>
      </c>
      <c r="B76" s="25"/>
      <c r="C76" s="25"/>
      <c r="D76" s="82"/>
      <c r="E76" s="43"/>
      <c r="F76" s="28"/>
      <c r="G76" s="28"/>
      <c r="H76" s="23"/>
    </row>
    <row r="77">
      <c r="A77" s="10">
        <f t="shared" si="6"/>
        <v>67</v>
      </c>
      <c r="B77" s="51"/>
      <c r="C77" s="51"/>
      <c r="D77" s="65"/>
      <c r="E77" s="53"/>
      <c r="F77" s="54"/>
      <c r="G77" s="54"/>
      <c r="H77" s="15"/>
    </row>
    <row r="78">
      <c r="A78" s="124"/>
      <c r="B78" s="125"/>
      <c r="C78" s="125"/>
      <c r="D78" s="125"/>
      <c r="E78" s="126"/>
      <c r="F78" s="126"/>
      <c r="G78" s="126"/>
      <c r="H78" s="127"/>
    </row>
  </sheetData>
  <customSheetViews>
    <customSheetView guid="{E330A034-60EE-4DC7-8AA8-ADB6B896CEA8}" filter="1" showAutoFilter="1">
      <autoFilter ref="$A$10:$H$78"/>
    </customSheetView>
    <customSheetView guid="{5707EC78-447A-45EC-8958-ABF38D180014}" filter="1" showAutoFilter="1">
      <autoFilter ref="$A$10:$H$78"/>
    </customSheetView>
  </customSheetViews>
  <mergeCells count="2">
    <mergeCell ref="B1:E1"/>
    <mergeCell ref="D3:E3"/>
  </mergeCells>
  <dataValidations>
    <dataValidation type="list" allowBlank="1" sqref="B11:B78">
      <formula1>"H1: Visibility of System Status,H2: Match b/w System &amp; World,H3: User Control &amp; Freedom,H4: Consistency &amp; Standards,H5: Error Prevention,H6: Recognition not Recall,H7: Flexibility &amp; Efficiency of Use,H8: Aesthetic &amp; Minimalist Design,H9: Help Users with E"&amp;"rrors,H10: Help &amp; Documentation,H11: Accessible Design,H12: Value Alignment &amp; Inclusion"</formula1>
    </dataValidation>
    <dataValidation type="list" allowBlank="1" sqref="D11:D78">
      <formula1>"0,1,2,3,4"</formula1>
    </dataValidation>
    <dataValidation type="list" allowBlank="1" sqref="H11:H78">
      <formula1>"A,B,C,D"</formula1>
    </dataValidation>
    <dataValidation type="list" allowBlank="1" sqref="C11:C78">
      <formula1>"1. Simple Task,2. Moderate Task,3. Complex Task,4. All Tasks,5. Extra Violations"</formula1>
    </dataValidation>
  </dataValidations>
  <drawing r:id="rId1"/>
  <tableParts count="2">
    <tablePart r:id="rId4"/>
    <tablePart r:id="rId5"/>
  </tableParts>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9.5"/>
  </cols>
  <sheetData>
    <row r="1">
      <c r="A1" s="128" t="s">
        <v>240</v>
      </c>
      <c r="B1" s="129" t="s">
        <v>241</v>
      </c>
      <c r="C1" s="129" t="s">
        <v>242</v>
      </c>
      <c r="D1" s="129" t="s">
        <v>243</v>
      </c>
      <c r="E1" s="129" t="s">
        <v>244</v>
      </c>
      <c r="F1" s="129" t="s">
        <v>245</v>
      </c>
      <c r="G1" s="130" t="s">
        <v>246</v>
      </c>
      <c r="I1" s="131"/>
      <c r="J1" s="131"/>
      <c r="K1" s="131"/>
      <c r="L1" s="131"/>
    </row>
    <row r="2">
      <c r="A2" s="132" t="s">
        <v>17</v>
      </c>
      <c r="B2" s="133">
        <f>COUNTIFS('Group Heuristic Evaluation'!B:B, "H1: Visibility of System Status", 'Group Heuristic Evaluation'!D:D, 0)</f>
        <v>0</v>
      </c>
      <c r="C2" s="133">
        <f>COUNTIFS('Group Heuristic Evaluation'!B:B, "H1: Visibility of System Status", 'Group Heuristic Evaluation'!D:D, 1)</f>
        <v>0</v>
      </c>
      <c r="D2" s="134">
        <f>COUNTIFS('Group Heuristic Evaluation'!B:B, "H1: Visibility of System Status", 'Group Heuristic Evaluation'!D:D, 2)</f>
        <v>1</v>
      </c>
      <c r="E2" s="134">
        <f>COUNTIFS('Group Heuristic Evaluation'!B:B, "H1: Visibility of System Status", 'Group Heuristic Evaluation'!D:D, 3)</f>
        <v>2</v>
      </c>
      <c r="F2" s="134">
        <f>COUNTIFS('Group Heuristic Evaluation'!B:B, "H1: Visibility of System Status", 'Group Heuristic Evaluation'!D:D, 4)</f>
        <v>1</v>
      </c>
      <c r="G2" s="135">
        <f t="shared" ref="G2:G5" si="1">SUM(B2:F2)</f>
        <v>4</v>
      </c>
      <c r="I2" s="131"/>
      <c r="J2" s="131"/>
      <c r="K2" s="131"/>
      <c r="L2" s="131"/>
    </row>
    <row r="3">
      <c r="A3" s="136" t="s">
        <v>41</v>
      </c>
      <c r="B3" s="133">
        <f>COUNTIFS('Group Heuristic Evaluation'!B:B, "H2: Match b/w System &amp; World", 'Group Heuristic Evaluation'!D:D, 0)</f>
        <v>0</v>
      </c>
      <c r="C3" s="134">
        <f>COUNTIFS('Group Heuristic Evaluation'!B:B, "H2: Match b/w System &amp; World", 'Group Heuristic Evaluation'!D:D, 1)</f>
        <v>2</v>
      </c>
      <c r="D3" s="134">
        <f>COUNTIFS('Group Heuristic Evaluation'!B:B, "H2: Match b/w System &amp; World", 'Group Heuristic Evaluation'!D:D, 2)</f>
        <v>2</v>
      </c>
      <c r="E3" s="134">
        <f>COUNTIFS('Group Heuristic Evaluation'!B:B, "H2: Match b/w System &amp; World", 'Group Heuristic Evaluation'!D:D, 3)</f>
        <v>3</v>
      </c>
      <c r="F3" s="134">
        <f>COUNTIFS('Group Heuristic Evaluation'!B:B, "H2: Match b/w System &amp; World", 'Group Heuristic Evaluation'!D:D, 4)</f>
        <v>1</v>
      </c>
      <c r="G3" s="137">
        <f t="shared" si="1"/>
        <v>8</v>
      </c>
      <c r="I3" s="131"/>
      <c r="J3" s="131"/>
      <c r="K3" s="131"/>
      <c r="L3" s="131"/>
    </row>
    <row r="4">
      <c r="A4" s="136" t="s">
        <v>48</v>
      </c>
      <c r="B4" s="133">
        <f>COUNTIFS('Group Heuristic Evaluation'!B:B, "H3: User Control &amp; Freedom", 'Group Heuristic Evaluation'!D:D, 0)</f>
        <v>0</v>
      </c>
      <c r="C4" s="134">
        <f>COUNTIFS('Group Heuristic Evaluation'!B:B, "H3: User Control &amp; Freedom", 'Group Heuristic Evaluation'!D:D, 1)</f>
        <v>0</v>
      </c>
      <c r="D4" s="134">
        <f>COUNTIFS('Group Heuristic Evaluation'!B:B, "H3: User Control &amp; Freedom", 'Group Heuristic Evaluation'!D:D, 2)</f>
        <v>0</v>
      </c>
      <c r="E4" s="134">
        <f>COUNTIFS('Group Heuristic Evaluation'!B:B, "H3: User Control &amp; Freedom", 'Group Heuristic Evaluation'!D:D, 3)</f>
        <v>1</v>
      </c>
      <c r="F4" s="134">
        <f>COUNTIFS('Group Heuristic Evaluation'!B:B, "H3: User Control &amp; Freedom", 'Group Heuristic Evaluation'!D:D, 4)</f>
        <v>3</v>
      </c>
      <c r="G4" s="137">
        <f t="shared" si="1"/>
        <v>4</v>
      </c>
      <c r="I4" s="131"/>
      <c r="J4" s="131"/>
      <c r="K4" s="131"/>
      <c r="L4" s="131"/>
    </row>
    <row r="5">
      <c r="A5" s="136" t="s">
        <v>53</v>
      </c>
      <c r="B5" s="133">
        <f>COUNTIFS('Group Heuristic Evaluation'!B:B, "H4: Consistency &amp; Standards", 'Group Heuristic Evaluation'!D:D, 0)</f>
        <v>0</v>
      </c>
      <c r="C5" s="134">
        <f>COUNTIFS('Group Heuristic Evaluation'!B:B, "H4: Consistency &amp; Standards", 'Group Heuristic Evaluation'!D:D, 1)</f>
        <v>3</v>
      </c>
      <c r="D5" s="134">
        <f>COUNTIFS('Group Heuristic Evaluation'!B:B, "H4: Consistency &amp; Standards", 'Group Heuristic Evaluation'!D:D, 2)</f>
        <v>2</v>
      </c>
      <c r="E5" s="134">
        <f>COUNTIFS('Group Heuristic Evaluation'!B:B, "H4: Consistency &amp; Standards", 'Group Heuristic Evaluation'!D:D, 3)</f>
        <v>2</v>
      </c>
      <c r="F5" s="134">
        <f>COUNTIFS('Group Heuristic Evaluation'!B:B, "H4: Consistency &amp; Standards", 'Group Heuristic Evaluation'!D:D, 4)</f>
        <v>3</v>
      </c>
      <c r="G5" s="137">
        <f t="shared" si="1"/>
        <v>10</v>
      </c>
      <c r="I5" s="131"/>
      <c r="J5" s="131"/>
      <c r="K5" s="131"/>
      <c r="L5" s="131"/>
    </row>
    <row r="6">
      <c r="A6" s="136" t="s">
        <v>126</v>
      </c>
      <c r="B6" s="133">
        <f>COUNTIFS('Group Heuristic Evaluation'!B:B, "H5: Error Prevention", 'Group Heuristic Evaluation'!D:D, 0)</f>
        <v>0</v>
      </c>
      <c r="C6" s="134">
        <f>COUNTIFS('Group Heuristic Evaluation'!B:B, "H5: Error Prevention", 'Group Heuristic Evaluation'!D:D, 1)</f>
        <v>0</v>
      </c>
      <c r="D6" s="134">
        <f>COUNTIFS('Group Heuristic Evaluation'!B:B, "H5: Error Prevention", 'Group Heuristic Evaluation'!D:D, 2)</f>
        <v>3</v>
      </c>
      <c r="E6" s="134">
        <f>COUNTIFS('Group Heuristic Evaluation'!B:B, "H5: Error Prevention", 'Group Heuristic Evaluation'!D:D, 3)</f>
        <v>0</v>
      </c>
      <c r="F6" s="134">
        <f>COUNTIFS('Group Heuristic Evaluation'!B:B, "H5: Error Prevention", 'Group Heuristic Evaluation'!D:D, 4)</f>
        <v>1</v>
      </c>
      <c r="G6" s="137">
        <f>SUM(C6:F6)</f>
        <v>4</v>
      </c>
      <c r="I6" s="131"/>
      <c r="J6" s="131"/>
      <c r="K6" s="131"/>
      <c r="L6" s="131"/>
    </row>
    <row r="7">
      <c r="A7" s="136" t="s">
        <v>61</v>
      </c>
      <c r="B7" s="133">
        <f>COUNTIFS('Group Heuristic Evaluation'!B:B, "H6: Recognition not Recall", 'Group Heuristic Evaluation'!D:D, 0)</f>
        <v>0</v>
      </c>
      <c r="C7" s="134">
        <f>COUNTIFS('Group Heuristic Evaluation'!B:B, "H6: Recognition not Recall", 'Group Heuristic Evaluation'!D:D, 1)</f>
        <v>0</v>
      </c>
      <c r="D7" s="134">
        <f>COUNTIFS('Group Heuristic Evaluation'!B:B, "H6: Recognition not Recall", 'Group Heuristic Evaluation'!D:D, 2)</f>
        <v>2</v>
      </c>
      <c r="E7" s="134">
        <f>COUNTIFS('Group Heuristic Evaluation'!B:B, "H6: Recognition not Recall", 'Group Heuristic Evaluation'!D:D, 3)</f>
        <v>2</v>
      </c>
      <c r="F7" s="134">
        <f>COUNTIFS('Group Heuristic Evaluation'!B:B, "H6: Recognition not Recall", 'Group Heuristic Evaluation'!D:D, 4)</f>
        <v>1</v>
      </c>
      <c r="G7" s="137">
        <f t="shared" ref="G7:G13" si="2">SUM(B7:F7)</f>
        <v>5</v>
      </c>
      <c r="I7" s="131"/>
      <c r="J7" s="131"/>
      <c r="K7" s="131"/>
      <c r="L7" s="131"/>
    </row>
    <row r="8">
      <c r="A8" s="136" t="s">
        <v>69</v>
      </c>
      <c r="B8" s="133">
        <f>COUNTIFS('Group Heuristic Evaluation'!B:B, "H7: Flexibility &amp; Efficiency of Use", 'Group Heuristic Evaluation'!D:D, 0)</f>
        <v>0</v>
      </c>
      <c r="C8" s="134">
        <f>COUNTIFS('Group Heuristic Evaluation'!B:B, "H7: Flexibility &amp; Efficiency of Use", 'Group Heuristic Evaluation'!D:D, 1)</f>
        <v>1</v>
      </c>
      <c r="D8" s="134">
        <f>COUNTIFS('Group Heuristic Evaluation'!B:B, "H7: Flexibility &amp; Efficiency of Use", 'Group Heuristic Evaluation'!D:D, 2)</f>
        <v>2</v>
      </c>
      <c r="E8" s="134">
        <f>COUNTIFS('Group Heuristic Evaluation'!B:B, "H7: Flexibility &amp; Efficiency of Use", 'Group Heuristic Evaluation'!D:D, 3)</f>
        <v>4</v>
      </c>
      <c r="F8" s="134">
        <f>COUNTIFS('Group Heuristic Evaluation'!B:B, "H7: Flexibility &amp; Efficiency of Use", 'Group Heuristic Evaluation'!D:D, 4)</f>
        <v>2</v>
      </c>
      <c r="G8" s="137">
        <f t="shared" si="2"/>
        <v>9</v>
      </c>
      <c r="I8" s="131"/>
      <c r="J8" s="131"/>
      <c r="K8" s="131"/>
      <c r="L8" s="131"/>
    </row>
    <row r="9">
      <c r="A9" s="136" t="s">
        <v>83</v>
      </c>
      <c r="B9" s="133">
        <f>COUNTIFS('Group Heuristic Evaluation'!B:B, "H8: Aesthetic &amp; Minimalist Design", 'Group Heuristic Evaluation'!D:D, 0)</f>
        <v>0</v>
      </c>
      <c r="C9" s="138">
        <f>COUNTIFS('Group Heuristic Evaluation'!B:B, "H8: Aesthetic &amp; Minimalist Design", 'Group Heuristic Evaluation'!D:D, 1)</f>
        <v>3</v>
      </c>
      <c r="D9" s="138">
        <f>COUNTIFS('Group Heuristic Evaluation'!B:B, "H8: Aesthetic &amp; Minimalist Design", 'Group Heuristic Evaluation'!D:D, 2)</f>
        <v>4</v>
      </c>
      <c r="E9" s="138">
        <f>COUNTIFS('Group Heuristic Evaluation'!B:B, "H8: Aesthetic &amp; Minimalist Design", 'Group Heuristic Evaluation'!D:D, 3)</f>
        <v>1</v>
      </c>
      <c r="F9" s="138">
        <f>COUNTIFS('Group Heuristic Evaluation'!B:B, "H8: Aesthetic &amp; Minimalist Design", 'Group Heuristic Evaluation'!D:D, 4)</f>
        <v>0</v>
      </c>
      <c r="G9" s="137">
        <f t="shared" si="2"/>
        <v>8</v>
      </c>
      <c r="I9" s="131"/>
      <c r="J9" s="131"/>
      <c r="K9" s="131"/>
      <c r="L9" s="131"/>
    </row>
    <row r="10">
      <c r="A10" s="136" t="s">
        <v>95</v>
      </c>
      <c r="B10" s="133">
        <f>COUNTIFS('Group Heuristic Evaluation'!B:B, "H9: Help Users with Errors", 'Group Heuristic Evaluation'!D:D, 0)</f>
        <v>0</v>
      </c>
      <c r="C10" s="138">
        <f>COUNTIFS('Group Heuristic Evaluation'!B:B, "H9: Help Users with Errors", 'Group Heuristic Evaluation'!D:D, 1)</f>
        <v>0</v>
      </c>
      <c r="D10" s="138">
        <f>COUNTIFS('Group Heuristic Evaluation'!B:B, "H9: Help Users with Errors", 'Group Heuristic Evaluation'!D:D, 2)</f>
        <v>1</v>
      </c>
      <c r="E10" s="138">
        <f>COUNTIFS('Group Heuristic Evaluation'!B:B, "H9: Help Users with Errors", 'Group Heuristic Evaluation'!D:D, 3)</f>
        <v>1</v>
      </c>
      <c r="F10" s="138">
        <f>COUNTIFS('Group Heuristic Evaluation'!B:B, "H9: Help Users with Errors", 'Group Heuristic Evaluation'!D:D, 4)</f>
        <v>0</v>
      </c>
      <c r="G10" s="137">
        <f t="shared" si="2"/>
        <v>2</v>
      </c>
      <c r="I10" s="131"/>
      <c r="J10" s="131"/>
      <c r="K10" s="131"/>
      <c r="L10" s="131"/>
    </row>
    <row r="11">
      <c r="A11" s="136" t="s">
        <v>25</v>
      </c>
      <c r="B11" s="133">
        <f>COUNTIFS('Group Heuristic Evaluation'!B:B, "H10: Help &amp; Documentation", 'Group Heuristic Evaluation'!D:D, 0)</f>
        <v>0</v>
      </c>
      <c r="C11" s="138">
        <f>COUNTIFS('Group Heuristic Evaluation'!B:B, "H10: Help &amp; Documentation", 'Group Heuristic Evaluation'!D:D, 1)</f>
        <v>1</v>
      </c>
      <c r="D11" s="138">
        <f>COUNTIFS('Group Heuristic Evaluation'!B:B, "H10: Help &amp; Documentation", 'Group Heuristic Evaluation'!D:D, 2)</f>
        <v>0</v>
      </c>
      <c r="E11" s="138">
        <f>COUNTIFS('Group Heuristic Evaluation'!B:B, "H10: Help &amp; Documentation", 'Group Heuristic Evaluation'!D:D, 3)</f>
        <v>1</v>
      </c>
      <c r="F11" s="138">
        <f>COUNTIFS('Group Heuristic Evaluation'!B:B, "H10: Help &amp; Documentation", 'Group Heuristic Evaluation'!D:D, 4)</f>
        <v>1</v>
      </c>
      <c r="G11" s="137">
        <f t="shared" si="2"/>
        <v>3</v>
      </c>
      <c r="I11" s="131"/>
      <c r="J11" s="131"/>
      <c r="K11" s="131"/>
      <c r="L11" s="131"/>
    </row>
    <row r="12">
      <c r="A12" s="136" t="s">
        <v>30</v>
      </c>
      <c r="B12" s="133">
        <f>COUNTIFS('Group Heuristic Evaluation'!B:B, "H11: Accessible Design", 'Group Heuristic Evaluation'!D:D, 0)</f>
        <v>0</v>
      </c>
      <c r="C12" s="138">
        <f>COUNTIFS('Group Heuristic Evaluation'!B:B, "H11: Accessible Design", 'Group Heuristic Evaluation'!D:D, 1)</f>
        <v>0</v>
      </c>
      <c r="D12" s="138">
        <f>COUNTIFS('Group Heuristic Evaluation'!B:B, "H11: Accessible Design", 'Group Heuristic Evaluation'!D:D, 2)</f>
        <v>0</v>
      </c>
      <c r="E12" s="138">
        <f>COUNTIFS('Group Heuristic Evaluation'!B:B, "H11: Accessible Design", 'Group Heuristic Evaluation'!D:D, 3)</f>
        <v>3</v>
      </c>
      <c r="F12" s="138">
        <f>COUNTIFS('Group Heuristic Evaluation'!B:B, "H11: Accessible Design", 'Group Heuristic Evaluation'!D:D, 4)</f>
        <v>0</v>
      </c>
      <c r="G12" s="137">
        <f t="shared" si="2"/>
        <v>3</v>
      </c>
      <c r="I12" s="131"/>
      <c r="J12" s="131"/>
      <c r="K12" s="131"/>
      <c r="L12" s="131"/>
    </row>
    <row r="13">
      <c r="A13" s="136" t="s">
        <v>247</v>
      </c>
      <c r="B13" s="133">
        <f>COUNTIFS('Group Heuristic Evaluation'!B:B, "H12: Value Alignment &amp; Inclusion", 'Group Heuristic Evaluation'!D:D, 0)</f>
        <v>0</v>
      </c>
      <c r="C13" s="138">
        <f>COUNTIFS('Group Heuristic Evaluation'!B:B, "H12: Value Alignment &amp; Inclusion", 'Group Heuristic Evaluation'!D:D, 1)</f>
        <v>0</v>
      </c>
      <c r="D13" s="138">
        <f>COUNTIFS('Group Heuristic Evaluation'!B:B, "H12: Value Alignment &amp; Inclusion", 'Group Heuristic Evaluation'!D:D, 2)</f>
        <v>1</v>
      </c>
      <c r="E13" s="138">
        <f>COUNTIFS('Group Heuristic Evaluation'!B:B, "H12: Value Alignment &amp; Inclusion", 'Group Heuristic Evaluation'!D:D, 3)</f>
        <v>0</v>
      </c>
      <c r="F13" s="138">
        <f>COUNTIFS('Group Heuristic Evaluation'!B:B, "H12: Value Alignment &amp; Inclusion", 'Group Heuristic Evaluation'!D:D, 4)</f>
        <v>1</v>
      </c>
      <c r="G13" s="137">
        <f t="shared" si="2"/>
        <v>2</v>
      </c>
      <c r="I13" s="131"/>
      <c r="J13" s="131"/>
      <c r="K13" s="131"/>
      <c r="L13" s="131"/>
    </row>
    <row r="14">
      <c r="A14" s="139" t="s">
        <v>248</v>
      </c>
      <c r="B14" s="140">
        <f>SUM(B2:B13)</f>
        <v>0</v>
      </c>
      <c r="C14" s="140">
        <f t="shared" ref="C14:D14" si="3">SUM(C1:C13)</f>
        <v>10</v>
      </c>
      <c r="D14" s="140">
        <f t="shared" si="3"/>
        <v>18</v>
      </c>
      <c r="E14" s="140">
        <f t="shared" ref="E14:G14" si="4">SUM(E2:E13)</f>
        <v>20</v>
      </c>
      <c r="F14" s="140">
        <f t="shared" si="4"/>
        <v>14</v>
      </c>
      <c r="G14" s="141">
        <f t="shared" si="4"/>
        <v>62</v>
      </c>
      <c r="I14" s="131"/>
      <c r="J14" s="131"/>
      <c r="K14" s="131"/>
      <c r="L14" s="131"/>
    </row>
    <row r="16">
      <c r="A16" s="142"/>
      <c r="B16" s="142"/>
      <c r="C16" s="142"/>
      <c r="D16" s="142"/>
      <c r="E16" s="142"/>
      <c r="F16" s="142"/>
      <c r="G16" s="142"/>
    </row>
    <row r="17">
      <c r="A17" s="142"/>
      <c r="B17" s="142"/>
      <c r="C17" s="142"/>
      <c r="D17" s="142"/>
      <c r="E17" s="142"/>
      <c r="F17" s="142"/>
      <c r="G17" s="142"/>
    </row>
    <row r="18">
      <c r="A18" s="142"/>
      <c r="B18" s="142"/>
      <c r="C18" s="142"/>
      <c r="D18" s="142"/>
      <c r="E18" s="142"/>
      <c r="F18" s="142"/>
      <c r="G18" s="142"/>
    </row>
    <row r="19">
      <c r="A19" s="142"/>
      <c r="B19" s="142"/>
      <c r="C19" s="142"/>
      <c r="D19" s="142"/>
      <c r="E19" s="142"/>
      <c r="F19" s="142"/>
      <c r="G19" s="142"/>
    </row>
    <row r="20">
      <c r="A20" s="142"/>
      <c r="B20" s="142"/>
      <c r="C20" s="142"/>
      <c r="D20" s="142"/>
      <c r="E20" s="142"/>
      <c r="F20" s="142"/>
      <c r="G20" s="142"/>
    </row>
    <row r="21">
      <c r="A21" s="142"/>
      <c r="B21" s="142"/>
      <c r="C21" s="142"/>
      <c r="D21" s="142"/>
      <c r="E21" s="142"/>
      <c r="F21" s="142"/>
      <c r="G21" s="142"/>
    </row>
    <row r="22">
      <c r="A22" s="142"/>
      <c r="B22" s="142"/>
      <c r="C22" s="142"/>
      <c r="D22" s="142"/>
      <c r="E22" s="142"/>
      <c r="F22" s="142"/>
      <c r="G22" s="142"/>
    </row>
    <row r="23">
      <c r="A23" s="142"/>
      <c r="B23" s="142"/>
      <c r="C23" s="142"/>
      <c r="D23" s="142"/>
      <c r="E23" s="142"/>
      <c r="F23" s="142"/>
      <c r="G23" s="142"/>
    </row>
    <row r="24">
      <c r="A24" s="142"/>
      <c r="B24" s="142"/>
      <c r="C24" s="142"/>
      <c r="D24" s="142"/>
      <c r="E24" s="142"/>
      <c r="F24" s="142"/>
      <c r="G24" s="142"/>
    </row>
    <row r="25">
      <c r="A25" s="142"/>
      <c r="B25" s="142"/>
      <c r="C25" s="142"/>
      <c r="D25" s="142"/>
      <c r="E25" s="142"/>
      <c r="F25" s="142"/>
      <c r="G25" s="142"/>
    </row>
    <row r="26">
      <c r="A26" s="142"/>
      <c r="B26" s="142"/>
      <c r="C26" s="142"/>
      <c r="D26" s="142"/>
      <c r="E26" s="142"/>
      <c r="F26" s="142"/>
      <c r="G26" s="142"/>
    </row>
    <row r="27">
      <c r="A27" s="142"/>
      <c r="B27" s="142"/>
      <c r="C27" s="142"/>
      <c r="D27" s="142"/>
      <c r="E27" s="142"/>
      <c r="F27" s="142"/>
      <c r="G27" s="142"/>
    </row>
    <row r="28">
      <c r="A28" s="142"/>
      <c r="B28" s="142"/>
      <c r="C28" s="142"/>
      <c r="D28" s="142"/>
      <c r="E28" s="142"/>
      <c r="F28" s="142"/>
      <c r="G28" s="142"/>
    </row>
    <row r="29">
      <c r="A29" s="142"/>
      <c r="B29" s="142"/>
      <c r="C29" s="142"/>
      <c r="D29" s="142"/>
      <c r="E29" s="142"/>
      <c r="F29" s="142"/>
      <c r="G29" s="142"/>
    </row>
    <row r="32">
      <c r="A32" s="143"/>
      <c r="B32" s="143"/>
      <c r="C32" s="143"/>
      <c r="D32" s="143"/>
      <c r="E32" s="143"/>
      <c r="F32" s="143"/>
      <c r="G32" s="143"/>
    </row>
    <row r="33">
      <c r="A33" s="143"/>
      <c r="B33" s="143"/>
      <c r="C33" s="143"/>
      <c r="D33" s="143"/>
      <c r="E33" s="143"/>
      <c r="F33" s="143"/>
      <c r="G33" s="143"/>
    </row>
    <row r="34">
      <c r="A34" s="143"/>
      <c r="B34" s="143"/>
      <c r="C34" s="143"/>
      <c r="D34" s="143"/>
      <c r="E34" s="143"/>
      <c r="F34" s="143"/>
      <c r="G34" s="143"/>
    </row>
    <row r="35">
      <c r="A35" s="143"/>
      <c r="B35" s="143"/>
      <c r="C35" s="143"/>
      <c r="D35" s="143"/>
      <c r="E35" s="143"/>
      <c r="F35" s="143"/>
      <c r="G35" s="143"/>
    </row>
    <row r="36">
      <c r="A36" s="143"/>
      <c r="B36" s="143"/>
      <c r="C36" s="143"/>
      <c r="D36" s="143"/>
      <c r="E36" s="143"/>
      <c r="F36" s="143"/>
      <c r="G36" s="143"/>
    </row>
    <row r="37">
      <c r="A37" s="143"/>
      <c r="B37" s="143"/>
      <c r="C37" s="143"/>
      <c r="D37" s="143"/>
      <c r="E37" s="143"/>
      <c r="F37" s="143"/>
      <c r="G37" s="143"/>
    </row>
    <row r="38">
      <c r="A38" s="143"/>
      <c r="B38" s="143"/>
      <c r="C38" s="143"/>
      <c r="D38" s="143"/>
      <c r="E38" s="143"/>
      <c r="F38" s="143"/>
      <c r="G38" s="143"/>
    </row>
    <row r="39">
      <c r="A39" s="143"/>
      <c r="B39" s="143"/>
      <c r="C39" s="143"/>
      <c r="D39" s="143"/>
      <c r="E39" s="143"/>
      <c r="F39" s="143"/>
      <c r="G39" s="143"/>
    </row>
    <row r="40">
      <c r="A40" s="143"/>
      <c r="B40" s="143"/>
      <c r="C40" s="143"/>
      <c r="D40" s="143"/>
      <c r="E40" s="143"/>
      <c r="F40" s="143"/>
      <c r="G40" s="143"/>
    </row>
    <row r="41">
      <c r="A41" s="143"/>
      <c r="B41" s="143"/>
      <c r="C41" s="143"/>
      <c r="D41" s="143"/>
      <c r="E41" s="143"/>
      <c r="F41" s="143"/>
      <c r="G41" s="143"/>
    </row>
    <row r="42">
      <c r="A42" s="143"/>
      <c r="B42" s="143"/>
      <c r="C42" s="143"/>
      <c r="D42" s="143"/>
      <c r="E42" s="143"/>
      <c r="F42" s="143"/>
      <c r="G42" s="143"/>
    </row>
    <row r="43">
      <c r="A43" s="143"/>
      <c r="B43" s="143"/>
      <c r="C43" s="143"/>
      <c r="D43" s="143"/>
      <c r="E43" s="143"/>
      <c r="F43" s="143"/>
      <c r="G43" s="143"/>
    </row>
    <row r="44">
      <c r="A44" s="143"/>
      <c r="B44" s="143"/>
      <c r="C44" s="143"/>
      <c r="D44" s="143"/>
      <c r="E44" s="143"/>
      <c r="F44" s="143"/>
      <c r="G44" s="143"/>
    </row>
    <row r="45">
      <c r="A45" s="143"/>
      <c r="B45" s="143"/>
      <c r="C45" s="143"/>
      <c r="D45" s="143"/>
      <c r="E45" s="143"/>
      <c r="F45" s="143"/>
      <c r="G45" s="143"/>
    </row>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5.0"/>
    <col customWidth="1" min="2" max="5" width="14.5"/>
  </cols>
  <sheetData>
    <row r="1">
      <c r="A1" s="144" t="s">
        <v>249</v>
      </c>
    </row>
    <row r="2">
      <c r="A2" s="145" t="s">
        <v>12</v>
      </c>
      <c r="B2" s="145" t="s">
        <v>250</v>
      </c>
      <c r="C2" s="145" t="s">
        <v>251</v>
      </c>
      <c r="D2" s="145" t="s">
        <v>252</v>
      </c>
      <c r="E2" s="145" t="s">
        <v>253</v>
      </c>
    </row>
    <row r="3">
      <c r="A3" s="16">
        <v>0.0</v>
      </c>
      <c r="B3" s="138">
        <f>COUNTIFS('Group Heuristic Evaluation'!H:H, "*A*",'Group Heuristic Evaluation'!D:D, 0)/COUNTA('Group Heuristic Evaluation'!B10:B100)
</f>
        <v>0</v>
      </c>
      <c r="C3" s="146">
        <f>COUNTIFS('Group Heuristic Evaluation'!H:H, "*B*",'Group Heuristic Evaluation'!D:D, 0)/COUNTA('Group Heuristic Evaluation'!B10:B100)</f>
        <v>0</v>
      </c>
      <c r="D3" s="138">
        <f>COUNTIFS('Group Heuristic Evaluation'!H:H, "*C*",'Group Heuristic Evaluation'!D:D, 0)/COUNTA('Group Heuristic Evaluation'!B10:B100)</f>
        <v>0</v>
      </c>
      <c r="E3" s="138">
        <f>COUNTIFS('Group Heuristic Evaluation'!H:H, "*D*",'Group Heuristic Evaluation'!D:D, 0)/COUNTA('Group Heuristic Evaluation'!B10:B100)</f>
        <v>0</v>
      </c>
    </row>
    <row r="4">
      <c r="A4" s="16">
        <v>1.0</v>
      </c>
      <c r="B4" s="138">
        <f>COUNTIFS('Group Heuristic Evaluation'!H:H, "*A*",'Group Heuristic Evaluation'!D:D, 1)/COUNTA('Group Heuristic Evaluation'!B10:B100)
</f>
        <v>0</v>
      </c>
      <c r="C4" s="146">
        <f>COUNTIFS('Group Heuristic Evaluation'!H:H, "*B*",'Group Heuristic Evaluation'!D:D, 1)/COUNTA('Group Heuristic Evaluation'!B10:B100)</f>
        <v>0.01587301587</v>
      </c>
      <c r="D4" s="138">
        <f>COUNTIFS('Group Heuristic Evaluation'!H:H, "*C*",'Group Heuristic Evaluation'!D:D, 1)/COUNTA('Group Heuristic Evaluation'!B10:B100)</f>
        <v>0.07936507937</v>
      </c>
      <c r="E4" s="138">
        <f>COUNTIFS('Group Heuristic Evaluation'!H:H, "*D*",'Group Heuristic Evaluation'!D:D, 1)/COUNTA('Group Heuristic Evaluation'!B10:B100)</f>
        <v>0.07936507937</v>
      </c>
    </row>
    <row r="5">
      <c r="A5" s="16">
        <v>2.0</v>
      </c>
      <c r="B5" s="138">
        <f>COUNTIFS('Group Heuristic Evaluation'!H:H, "*A*",'Group Heuristic Evaluation'!D:D, 2)/COUNTA('Group Heuristic Evaluation'!B10:B100)
</f>
        <v>0.09523809524</v>
      </c>
      <c r="C5" s="146">
        <f>COUNTIFS('Group Heuristic Evaluation'!H:H, "*B*",'Group Heuristic Evaluation'!D:D, 2)/COUNTA('Group Heuristic Evaluation'!B10:B100)</f>
        <v>0.06349206349</v>
      </c>
      <c r="D5" s="138">
        <f>COUNTIFS('Group Heuristic Evaluation'!H:H, "*C*",'Group Heuristic Evaluation'!D:D, 2)/COUNTA('Group Heuristic Evaluation'!B10:B100)</f>
        <v>0.1428571429</v>
      </c>
      <c r="E5" s="138">
        <f>COUNTIFS('Group Heuristic Evaluation'!H:H, "*D*",'Group Heuristic Evaluation'!D:D, 2)/COUNTA('Group Heuristic Evaluation'!B10:B100)</f>
        <v>0.1904761905</v>
      </c>
    </row>
    <row r="6">
      <c r="A6" s="16">
        <v>3.0</v>
      </c>
      <c r="B6" s="138">
        <f>COUNTIFS('Group Heuristic Evaluation'!H:H, "*A*",'Group Heuristic Evaluation'!D:D, 3)/COUNTA('Group Heuristic Evaluation'!B10:B100)
</f>
        <v>0.09523809524</v>
      </c>
      <c r="C6" s="146">
        <f>COUNTIFS('Group Heuristic Evaluation'!H:H, "*B*",'Group Heuristic Evaluation'!D:D, 3)/COUNTA('Group Heuristic Evaluation'!B10:B100)</f>
        <v>0.09523809524</v>
      </c>
      <c r="D6" s="138">
        <f>COUNTIFS('Group Heuristic Evaluation'!H:H, "*C*",'Group Heuristic Evaluation'!D:D, 3)/COUNTA('Group Heuristic Evaluation'!B10:B100)</f>
        <v>0.1111111111</v>
      </c>
      <c r="E6" s="138">
        <f>COUNTIFS('Group Heuristic Evaluation'!H:H, "*D*",'Group Heuristic Evaluation'!D:D, 3)/COUNTA('Group Heuristic Evaluation'!B10:B100)</f>
        <v>0.2380952381</v>
      </c>
    </row>
    <row r="7">
      <c r="A7" s="16">
        <v>4.0</v>
      </c>
      <c r="B7" s="138">
        <f>COUNTIFS('Group Heuristic Evaluation'!H:H, "*A*",'Group Heuristic Evaluation'!D:D, 4)/COUNTA('Group Heuristic Evaluation'!B10:B100)
</f>
        <v>0.07936507937</v>
      </c>
      <c r="C7" s="146">
        <f>COUNTIFS('Group Heuristic Evaluation'!H:H, "*B*",'Group Heuristic Evaluation'!D:D, 4)/COUNTA('Group Heuristic Evaluation'!B10:B100)</f>
        <v>0.09523809524</v>
      </c>
      <c r="D7" s="138">
        <f>COUNTIFS('Group Heuristic Evaluation'!H:H, "*C*",'Group Heuristic Evaluation'!D:D, 4)/COUNTA('Group Heuristic Evaluation'!B10:B100)</f>
        <v>0.126984127</v>
      </c>
      <c r="E7" s="138">
        <f>COUNTIFS('Group Heuristic Evaluation'!H:H, "*D*",'Group Heuristic Evaluation'!D:D, 4)/COUNTA('Group Heuristic Evaluation'!B10:B100)</f>
        <v>0.1904761905</v>
      </c>
    </row>
    <row r="8">
      <c r="A8" s="131" t="s">
        <v>254</v>
      </c>
      <c r="B8" s="147">
        <f t="shared" ref="B8:E8" si="1">SUM(B6:B7)</f>
        <v>0.1746031746</v>
      </c>
      <c r="C8" s="147">
        <f t="shared" si="1"/>
        <v>0.1904761905</v>
      </c>
      <c r="D8" s="147">
        <f t="shared" si="1"/>
        <v>0.2380952381</v>
      </c>
      <c r="E8" s="147">
        <f t="shared" si="1"/>
        <v>0.4285714286</v>
      </c>
    </row>
    <row r="9">
      <c r="A9" s="131" t="s">
        <v>255</v>
      </c>
      <c r="B9" s="147">
        <f t="shared" ref="B9:E9" si="2">SUM(B3:B7)</f>
        <v>0.2698412698</v>
      </c>
      <c r="C9" s="147">
        <f t="shared" si="2"/>
        <v>0.2698412698</v>
      </c>
      <c r="D9" s="147">
        <f t="shared" si="2"/>
        <v>0.4603174603</v>
      </c>
      <c r="E9" s="147">
        <f t="shared" si="2"/>
        <v>0.6984126984</v>
      </c>
    </row>
  </sheetData>
  <mergeCells count="1">
    <mergeCell ref="A1:F1"/>
  </mergeCells>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48" t="s">
        <v>256</v>
      </c>
      <c r="B1" s="149"/>
      <c r="C1" s="149"/>
      <c r="D1" s="149"/>
      <c r="E1" s="149"/>
      <c r="F1" s="149"/>
      <c r="G1" s="150"/>
    </row>
    <row r="2">
      <c r="A2" s="151" t="s">
        <v>257</v>
      </c>
    </row>
  </sheetData>
  <mergeCells count="2">
    <mergeCell ref="A1:G1"/>
    <mergeCell ref="A2:I38"/>
  </mergeCells>
  <drawing r:id="rId1"/>
</worksheet>
</file>